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pivotTables/pivotTable5.xml" ContentType="application/vnd.openxmlformats-officedocument.spreadsheetml.pivotTable+xml"/>
  <Override PartName="/xl/charts/chart7.xml" ContentType="application/vnd.openxmlformats-officedocument.drawingml.chart+xml"/>
  <Override PartName="/xl/pivotTables/pivotTable6.xml" ContentType="application/vnd.openxmlformats-officedocument.spreadsheetml.pivotTable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ivotTables/pivotTable7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2285" windowHeight="7950" tabRatio="658"/>
  </bookViews>
  <sheets>
    <sheet name="Opplagstall" sheetId="1" r:id="rId1"/>
    <sheet name="D-Forlag" sheetId="19" r:id="rId2"/>
    <sheet name="Forlag" sheetId="6" state="hidden" r:id="rId3"/>
    <sheet name="Forlag med titler" sheetId="7" state="hidden" r:id="rId4"/>
    <sheet name="D-Markeder" sheetId="15" state="hidden" r:id="rId5"/>
    <sheet name="Marked" sheetId="8" state="hidden" r:id="rId6"/>
    <sheet name="Marked med titler" sheetId="10" r:id="rId7"/>
    <sheet name="D-Aktualitet" sheetId="14" state="hidden" r:id="rId8"/>
    <sheet name="Aktualitet" sheetId="12" state="hidden" r:id="rId9"/>
    <sheet name="D-Familie" sheetId="18" state="hidden" r:id="rId10"/>
    <sheet name="Familie" sheetId="11" state="hidden" r:id="rId11"/>
    <sheet name="D-Kvinne" sheetId="17" state="hidden" r:id="rId12"/>
    <sheet name="Kvinne" sheetId="13" state="hidden" r:id="rId13"/>
    <sheet name="Ark1" sheetId="20" state="hidden" r:id="rId14"/>
  </sheets>
  <definedNames>
    <definedName name="_xlnm._FilterDatabase" localSheetId="0" hidden="1">Opplagstall!$A$3:$M$71</definedName>
    <definedName name="_xlnm.Print_Area" localSheetId="7">'D-Aktualitet'!$A$1:$J$64</definedName>
    <definedName name="_xlnm.Print_Area" localSheetId="9">'D-Familie'!$A$1:$J$62</definedName>
    <definedName name="_xlnm.Print_Area" localSheetId="1">'D-Forlag'!$A$1:$J$63</definedName>
    <definedName name="_xlnm.Print_Area" localSheetId="11">'D-Kvinne'!$A$1:$J$63</definedName>
    <definedName name="_xlnm.Print_Area" localSheetId="4">'D-Markeder'!$A$1:$J$67</definedName>
    <definedName name="_xlnm.Print_Area" localSheetId="0">Opplagstall!$A$1:$M$102</definedName>
    <definedName name="_xlnm.Print_Titles" localSheetId="0">Opplagstall!$A:$C,Opplagstall!$1:$3</definedName>
  </definedNames>
  <calcPr calcId="125725"/>
  <pivotCaches>
    <pivotCache cacheId="5" r:id="rId15"/>
  </pivotCaches>
</workbook>
</file>

<file path=xl/calcChain.xml><?xml version="1.0" encoding="utf-8"?>
<calcChain xmlns="http://schemas.openxmlformats.org/spreadsheetml/2006/main">
  <c r="H86" i="1"/>
  <c r="H87"/>
  <c r="H88"/>
  <c r="H100"/>
  <c r="I100"/>
  <c r="J100"/>
  <c r="M100"/>
  <c r="K100"/>
  <c r="H92"/>
  <c r="I92" s="1"/>
  <c r="J92"/>
  <c r="M92" s="1"/>
  <c r="K92"/>
  <c r="D71"/>
  <c r="K85"/>
  <c r="J85"/>
  <c r="L85" s="1"/>
  <c r="H85"/>
  <c r="I85"/>
  <c r="K84"/>
  <c r="J84"/>
  <c r="I84"/>
  <c r="H84"/>
  <c r="K83"/>
  <c r="J83"/>
  <c r="L83"/>
  <c r="H83"/>
  <c r="I83"/>
  <c r="D81"/>
  <c r="D91"/>
  <c r="D99" s="1"/>
  <c r="F81"/>
  <c r="F91" s="1"/>
  <c r="F99" s="1"/>
  <c r="J45"/>
  <c r="K45"/>
  <c r="L45" s="1"/>
  <c r="M45" s="1"/>
  <c r="H45"/>
  <c r="I45"/>
  <c r="K63"/>
  <c r="J63"/>
  <c r="L63" s="1"/>
  <c r="M63" s="1"/>
  <c r="H63"/>
  <c r="I63"/>
  <c r="K4"/>
  <c r="K5"/>
  <c r="K6"/>
  <c r="K7"/>
  <c r="K8"/>
  <c r="K9"/>
  <c r="K10"/>
  <c r="K11"/>
  <c r="K12"/>
  <c r="K13"/>
  <c r="K14"/>
  <c r="K15"/>
  <c r="K16"/>
  <c r="K17"/>
  <c r="K18"/>
  <c r="K20"/>
  <c r="K21"/>
  <c r="K22"/>
  <c r="K23"/>
  <c r="K93"/>
  <c r="K24"/>
  <c r="K25"/>
  <c r="K26"/>
  <c r="K27"/>
  <c r="K28"/>
  <c r="K96"/>
  <c r="K29"/>
  <c r="K30"/>
  <c r="K31"/>
  <c r="K32"/>
  <c r="K33"/>
  <c r="K34"/>
  <c r="K35"/>
  <c r="K36"/>
  <c r="K37"/>
  <c r="K38"/>
  <c r="K39"/>
  <c r="K97"/>
  <c r="K40"/>
  <c r="K41"/>
  <c r="K42"/>
  <c r="K43"/>
  <c r="K44"/>
  <c r="K95"/>
  <c r="K46"/>
  <c r="K47"/>
  <c r="K48"/>
  <c r="K49"/>
  <c r="K50"/>
  <c r="K51"/>
  <c r="K52"/>
  <c r="K53"/>
  <c r="K54"/>
  <c r="K55"/>
  <c r="K101"/>
  <c r="K56"/>
  <c r="K57"/>
  <c r="K19"/>
  <c r="K58"/>
  <c r="K59"/>
  <c r="K60"/>
  <c r="K61"/>
  <c r="K62"/>
  <c r="K94"/>
  <c r="K64"/>
  <c r="K65"/>
  <c r="K66"/>
  <c r="K67"/>
  <c r="K68"/>
  <c r="K69"/>
  <c r="K70"/>
  <c r="J4"/>
  <c r="L4" s="1"/>
  <c r="M4" s="1"/>
  <c r="J5"/>
  <c r="L5"/>
  <c r="M5" s="1"/>
  <c r="J6"/>
  <c r="L6" s="1"/>
  <c r="M6" s="1"/>
  <c r="J7"/>
  <c r="L7" s="1"/>
  <c r="M7" s="1"/>
  <c r="J8"/>
  <c r="L8" s="1"/>
  <c r="M8" s="1"/>
  <c r="J9"/>
  <c r="J10"/>
  <c r="L10" s="1"/>
  <c r="M10" s="1"/>
  <c r="J11"/>
  <c r="L11" s="1"/>
  <c r="M11" s="1"/>
  <c r="J12"/>
  <c r="L12" s="1"/>
  <c r="M12" s="1"/>
  <c r="J13"/>
  <c r="L13" s="1"/>
  <c r="M13" s="1"/>
  <c r="J14"/>
  <c r="J15"/>
  <c r="L15"/>
  <c r="M15" s="1"/>
  <c r="J16"/>
  <c r="L16" s="1"/>
  <c r="M16" s="1"/>
  <c r="J17"/>
  <c r="L17" s="1"/>
  <c r="M17" s="1"/>
  <c r="J18"/>
  <c r="L18" s="1"/>
  <c r="M18" s="1"/>
  <c r="J20"/>
  <c r="L20" s="1"/>
  <c r="M20" s="1"/>
  <c r="J21"/>
  <c r="L21" s="1"/>
  <c r="M21" s="1"/>
  <c r="J22"/>
  <c r="L22" s="1"/>
  <c r="M22" s="1"/>
  <c r="J23"/>
  <c r="J93"/>
  <c r="L93"/>
  <c r="M93" s="1"/>
  <c r="J24"/>
  <c r="L24" s="1"/>
  <c r="M24" s="1"/>
  <c r="J25"/>
  <c r="L25" s="1"/>
  <c r="M25" s="1"/>
  <c r="J26"/>
  <c r="L26" s="1"/>
  <c r="M26" s="1"/>
  <c r="J27"/>
  <c r="L27" s="1"/>
  <c r="M27" s="1"/>
  <c r="J28"/>
  <c r="L28" s="1"/>
  <c r="M28" s="1"/>
  <c r="J96"/>
  <c r="L96"/>
  <c r="J29"/>
  <c r="L29" s="1"/>
  <c r="M29" s="1"/>
  <c r="J30"/>
  <c r="L30" s="1"/>
  <c r="M30" s="1"/>
  <c r="J31"/>
  <c r="J32"/>
  <c r="L32" s="1"/>
  <c r="M32" s="1"/>
  <c r="J33"/>
  <c r="J34"/>
  <c r="L34" s="1"/>
  <c r="M34" s="1"/>
  <c r="J35"/>
  <c r="J36"/>
  <c r="L36" s="1"/>
  <c r="M36" s="1"/>
  <c r="J37"/>
  <c r="J38"/>
  <c r="L38" s="1"/>
  <c r="M38" s="1"/>
  <c r="J39"/>
  <c r="J97"/>
  <c r="L97" s="1"/>
  <c r="J40"/>
  <c r="L40" s="1"/>
  <c r="M40" s="1"/>
  <c r="J41"/>
  <c r="L41" s="1"/>
  <c r="M41" s="1"/>
  <c r="J42"/>
  <c r="L42" s="1"/>
  <c r="M42" s="1"/>
  <c r="J43"/>
  <c r="L43" s="1"/>
  <c r="M43" s="1"/>
  <c r="J44"/>
  <c r="L44" s="1"/>
  <c r="M44" s="1"/>
  <c r="J95"/>
  <c r="L95"/>
  <c r="M95" s="1"/>
  <c r="J46"/>
  <c r="J47"/>
  <c r="J48"/>
  <c r="L48" s="1"/>
  <c r="M48" s="1"/>
  <c r="J49"/>
  <c r="L49" s="1"/>
  <c r="M49" s="1"/>
  <c r="J50"/>
  <c r="J51"/>
  <c r="L51" s="1"/>
  <c r="M51" s="1"/>
  <c r="J52"/>
  <c r="L52"/>
  <c r="M52" s="1"/>
  <c r="J53"/>
  <c r="J54"/>
  <c r="L54" s="1"/>
  <c r="M54" s="1"/>
  <c r="J55"/>
  <c r="L55" s="1"/>
  <c r="M55" s="1"/>
  <c r="J101"/>
  <c r="L101"/>
  <c r="M101" s="1"/>
  <c r="J56"/>
  <c r="J57"/>
  <c r="L57" s="1"/>
  <c r="M57" s="1"/>
  <c r="J19"/>
  <c r="L19" s="1"/>
  <c r="M19" s="1"/>
  <c r="J58"/>
  <c r="L58"/>
  <c r="M58" s="1"/>
  <c r="J59"/>
  <c r="J60"/>
  <c r="L60" s="1"/>
  <c r="M60" s="1"/>
  <c r="J61"/>
  <c r="L61" s="1"/>
  <c r="M61" s="1"/>
  <c r="J62"/>
  <c r="J94"/>
  <c r="L94" s="1"/>
  <c r="M94" s="1"/>
  <c r="J64"/>
  <c r="L64" s="1"/>
  <c r="M64" s="1"/>
  <c r="J65"/>
  <c r="J66"/>
  <c r="L66" s="1"/>
  <c r="M66" s="1"/>
  <c r="J67"/>
  <c r="L67" s="1"/>
  <c r="M67" s="1"/>
  <c r="J68"/>
  <c r="L68" s="1"/>
  <c r="M68" s="1"/>
  <c r="J69"/>
  <c r="L69" s="1"/>
  <c r="M69" s="1"/>
  <c r="J70"/>
  <c r="L70" s="1"/>
  <c r="M70" s="1"/>
  <c r="F71"/>
  <c r="H54"/>
  <c r="I54" s="1"/>
  <c r="H68"/>
  <c r="I68" s="1"/>
  <c r="H70"/>
  <c r="I70" s="1"/>
  <c r="H69"/>
  <c r="I69" s="1"/>
  <c r="H67"/>
  <c r="I67" s="1"/>
  <c r="H66"/>
  <c r="I66" s="1"/>
  <c r="H65"/>
  <c r="I65" s="1"/>
  <c r="H64"/>
  <c r="I64" s="1"/>
  <c r="H62"/>
  <c r="I62" s="1"/>
  <c r="H61"/>
  <c r="I61" s="1"/>
  <c r="H60"/>
  <c r="I60" s="1"/>
  <c r="H59"/>
  <c r="I59" s="1"/>
  <c r="H58"/>
  <c r="I58" s="1"/>
  <c r="H19"/>
  <c r="I19" s="1"/>
  <c r="H57"/>
  <c r="I57" s="1"/>
  <c r="H56"/>
  <c r="I56" s="1"/>
  <c r="H101"/>
  <c r="I101" s="1"/>
  <c r="H55"/>
  <c r="I55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95"/>
  <c r="I95" s="1"/>
  <c r="H44"/>
  <c r="I44" s="1"/>
  <c r="H43"/>
  <c r="I43" s="1"/>
  <c r="H42"/>
  <c r="I42" s="1"/>
  <c r="H41"/>
  <c r="I41" s="1"/>
  <c r="H40"/>
  <c r="I40" s="1"/>
  <c r="H97"/>
  <c r="I97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96"/>
  <c r="I96" s="1"/>
  <c r="H28"/>
  <c r="I28" s="1"/>
  <c r="H27"/>
  <c r="I27" s="1"/>
  <c r="H26"/>
  <c r="I26" s="1"/>
  <c r="H25"/>
  <c r="I25" s="1"/>
  <c r="H24"/>
  <c r="I24" s="1"/>
  <c r="H93"/>
  <c r="I93" s="1"/>
  <c r="H23"/>
  <c r="I23" s="1"/>
  <c r="H22"/>
  <c r="I22" s="1"/>
  <c r="H21"/>
  <c r="I21" s="1"/>
  <c r="H20"/>
  <c r="I20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H4"/>
  <c r="I4" s="1"/>
  <c r="H94"/>
  <c r="I94" s="1"/>
  <c r="F5" i="18"/>
  <c r="L14" i="1"/>
  <c r="L23"/>
  <c r="L33"/>
  <c r="M33"/>
  <c r="L37"/>
  <c r="M37"/>
  <c r="L62"/>
  <c r="M62" s="1"/>
  <c r="L50"/>
  <c r="M50" s="1"/>
  <c r="L39"/>
  <c r="M39" s="1"/>
  <c r="L35"/>
  <c r="M35" s="1"/>
  <c r="L84"/>
  <c r="L46"/>
  <c r="L31"/>
  <c r="M31" s="1"/>
  <c r="M96"/>
  <c r="K71"/>
  <c r="H71"/>
  <c r="L100"/>
  <c r="L92"/>
  <c r="D6" i="14"/>
  <c r="B10" i="15"/>
  <c r="B7" i="19"/>
  <c r="D7"/>
  <c r="D3" i="15"/>
  <c r="D3" i="19"/>
  <c r="B6" i="14"/>
  <c r="D3" i="18"/>
  <c r="B3" i="17"/>
  <c r="B6"/>
  <c r="D6" i="18"/>
  <c r="D5" i="14"/>
  <c r="B5" i="19"/>
  <c r="D4"/>
  <c r="B3" i="14"/>
  <c r="B7" i="15"/>
  <c r="D5" i="17"/>
  <c r="B8" i="15"/>
  <c r="B4" i="19"/>
  <c r="B8" i="14"/>
  <c r="B7" i="17"/>
  <c r="B5" i="14"/>
  <c r="D4" i="17"/>
  <c r="B5" i="15"/>
  <c r="D4" i="18"/>
  <c r="B4"/>
  <c r="D8" i="14"/>
  <c r="B9" i="15"/>
  <c r="B3" i="18"/>
  <c r="D11" i="15"/>
  <c r="D3" i="14"/>
  <c r="B4" i="17"/>
  <c r="D6"/>
  <c r="D5" i="15"/>
  <c r="D9"/>
  <c r="B5" i="17"/>
  <c r="D4" i="15"/>
  <c r="B3" i="19"/>
  <c r="D4" i="14"/>
  <c r="D6" i="15"/>
  <c r="B4"/>
  <c r="B3"/>
  <c r="B11"/>
  <c r="D7" i="17"/>
  <c r="B4" i="14"/>
  <c r="D5" i="19"/>
  <c r="B6" i="15"/>
  <c r="D10"/>
  <c r="D8"/>
  <c r="D7"/>
  <c r="B6" i="18"/>
  <c r="D3" i="17"/>
  <c r="M46" i="1" l="1"/>
  <c r="L9"/>
  <c r="M9" s="1"/>
  <c r="F6" i="17"/>
  <c r="F5"/>
  <c r="C6"/>
  <c r="C5"/>
  <c r="E6"/>
  <c r="E5"/>
  <c r="I71" i="1"/>
  <c r="L65"/>
  <c r="M65" s="1"/>
  <c r="L59"/>
  <c r="M59" s="1"/>
  <c r="L56"/>
  <c r="M56" s="1"/>
  <c r="L53"/>
  <c r="M53" s="1"/>
  <c r="L47"/>
  <c r="M47" s="1"/>
  <c r="M23"/>
  <c r="M14"/>
  <c r="D6" i="19"/>
  <c r="E6" s="1"/>
  <c r="B6"/>
  <c r="M97" i="1"/>
  <c r="J71"/>
  <c r="E3" i="15"/>
  <c r="F4"/>
  <c r="C4"/>
  <c r="F5"/>
  <c r="C5"/>
  <c r="E8"/>
  <c r="E6"/>
  <c r="C11"/>
  <c r="F11"/>
  <c r="C7" i="17"/>
  <c r="F7"/>
  <c r="E7"/>
  <c r="E10" i="15"/>
  <c r="C7" i="19"/>
  <c r="F7"/>
  <c r="C4" i="18"/>
  <c r="F4"/>
  <c r="E4"/>
  <c r="F6"/>
  <c r="C5"/>
  <c r="C6"/>
  <c r="F3" i="15"/>
  <c r="C3"/>
  <c r="E6" i="14"/>
  <c r="B7"/>
  <c r="F8"/>
  <c r="C8"/>
  <c r="F3" i="19"/>
  <c r="C3"/>
  <c r="E3"/>
  <c r="F3" i="14"/>
  <c r="C3"/>
  <c r="F4"/>
  <c r="C4"/>
  <c r="E4"/>
  <c r="C3" i="18"/>
  <c r="F3"/>
  <c r="C4" i="17"/>
  <c r="F4"/>
  <c r="E3"/>
  <c r="E11" i="15"/>
  <c r="C7"/>
  <c r="F7"/>
  <c r="F5" i="19"/>
  <c r="C5"/>
  <c r="E7" i="15"/>
  <c r="D7" i="14"/>
  <c r="E7" s="1"/>
  <c r="E8"/>
  <c r="C6" i="15"/>
  <c r="F6"/>
  <c r="C8"/>
  <c r="F8"/>
  <c r="F9"/>
  <c r="C9"/>
  <c r="E5" i="19"/>
  <c r="C10" i="15"/>
  <c r="F10"/>
  <c r="E6" i="18"/>
  <c r="E5"/>
  <c r="E7" i="19"/>
  <c r="E9" i="15"/>
  <c r="F6" i="14"/>
  <c r="C6"/>
  <c r="E4" i="15"/>
  <c r="E5"/>
  <c r="F4" i="19"/>
  <c r="C4"/>
  <c r="E4"/>
  <c r="C5" i="14"/>
  <c r="F5"/>
  <c r="E3"/>
  <c r="E5"/>
  <c r="E3" i="18"/>
  <c r="F3" i="17"/>
  <c r="C3"/>
  <c r="E4"/>
  <c r="L71" i="1" l="1"/>
  <c r="M71" s="1"/>
  <c r="F7" i="14"/>
  <c r="C7"/>
  <c r="C6" i="19"/>
  <c r="F6"/>
</calcChain>
</file>

<file path=xl/sharedStrings.xml><?xml version="1.0" encoding="utf-8"?>
<sst xmlns="http://schemas.openxmlformats.org/spreadsheetml/2006/main" count="680" uniqueCount="148">
  <si>
    <t>Tittel</t>
  </si>
  <si>
    <t>Utgiver</t>
  </si>
  <si>
    <t xml:space="preserve">  Frekvens</t>
  </si>
  <si>
    <t>%</t>
  </si>
  <si>
    <t>Type</t>
  </si>
  <si>
    <t>Allers</t>
  </si>
  <si>
    <t>Familie</t>
  </si>
  <si>
    <t>Annet</t>
  </si>
  <si>
    <t>Båtmagasinet</t>
  </si>
  <si>
    <t>Cosmopolitan</t>
  </si>
  <si>
    <t>Kvinne</t>
  </si>
  <si>
    <t>Eva</t>
  </si>
  <si>
    <t>Henne</t>
  </si>
  <si>
    <t>KK</t>
  </si>
  <si>
    <t>Samler &amp; Antikkbørsen</t>
  </si>
  <si>
    <t>Bil</t>
  </si>
  <si>
    <t>BIL</t>
  </si>
  <si>
    <t>FHM</t>
  </si>
  <si>
    <t>BM</t>
  </si>
  <si>
    <t>Woman</t>
  </si>
  <si>
    <t>Bo Bedre</t>
  </si>
  <si>
    <t>BPI</t>
  </si>
  <si>
    <t>Digital Foto</t>
  </si>
  <si>
    <t>Gjør det selv</t>
  </si>
  <si>
    <t>I form</t>
  </si>
  <si>
    <t>Illustrert vitenskap</t>
  </si>
  <si>
    <t>Komputer for alle</t>
  </si>
  <si>
    <t>National Geographic</t>
  </si>
  <si>
    <t>Spis Bedre</t>
  </si>
  <si>
    <t>Tara</t>
  </si>
  <si>
    <t>Vagabond</t>
  </si>
  <si>
    <t>ESF</t>
  </si>
  <si>
    <t>Donald Duck &amp; Co.</t>
  </si>
  <si>
    <t>Girls</t>
  </si>
  <si>
    <t>In-Side Magazine</t>
  </si>
  <si>
    <t>Julia</t>
  </si>
  <si>
    <t>Wendy</t>
  </si>
  <si>
    <t>Terrengsykkel</t>
  </si>
  <si>
    <t>FF</t>
  </si>
  <si>
    <t>Fri Flyt</t>
  </si>
  <si>
    <t>Elle</t>
  </si>
  <si>
    <t>Elle Interiør</t>
  </si>
  <si>
    <t>Alt om Fiske</t>
  </si>
  <si>
    <t>HM</t>
  </si>
  <si>
    <t>Auto Motor Sport</t>
  </si>
  <si>
    <t>Bedre Helse</t>
  </si>
  <si>
    <t>Bonytt</t>
  </si>
  <si>
    <t>C!</t>
  </si>
  <si>
    <t>Aktualitet</t>
  </si>
  <si>
    <t>Det Nye</t>
  </si>
  <si>
    <t>Familien</t>
  </si>
  <si>
    <t>Foreldre &amp; Barn</t>
  </si>
  <si>
    <t>Gravid</t>
  </si>
  <si>
    <t>Her og Nå</t>
  </si>
  <si>
    <t>Hjemme-PC</t>
  </si>
  <si>
    <t>Hjemmet</t>
  </si>
  <si>
    <t>Hytteliv</t>
  </si>
  <si>
    <t>Jakt</t>
  </si>
  <si>
    <t>Kamille</t>
  </si>
  <si>
    <t>Mann</t>
  </si>
  <si>
    <t>Motorbørsen</t>
  </si>
  <si>
    <t>Norsk Ukeblad</t>
  </si>
  <si>
    <t>Vi Menn</t>
  </si>
  <si>
    <t>Vi Menn båt</t>
  </si>
  <si>
    <t>Villmarksliv</t>
  </si>
  <si>
    <t>TVGuiden</t>
  </si>
  <si>
    <t>PRB</t>
  </si>
  <si>
    <t>Autofil</t>
  </si>
  <si>
    <t>D!</t>
  </si>
  <si>
    <t>Gatebil</t>
  </si>
  <si>
    <t>Jeger, Hund &amp; Våpen</t>
  </si>
  <si>
    <t>Mag</t>
  </si>
  <si>
    <t>Norsk Golf</t>
  </si>
  <si>
    <t>Se og Hør tirsdag</t>
  </si>
  <si>
    <t>Se og Hør weekend</t>
  </si>
  <si>
    <t>Topp</t>
  </si>
  <si>
    <t>TOTALT</t>
  </si>
  <si>
    <t>Bilforlaget</t>
  </si>
  <si>
    <t xml:space="preserve">BIL     </t>
  </si>
  <si>
    <t>Bonnier Media</t>
  </si>
  <si>
    <t>Bonnier Publi. Intern.</t>
  </si>
  <si>
    <t xml:space="preserve">Egmont Serieforlaget  </t>
  </si>
  <si>
    <t xml:space="preserve">Hjemmet Mortensen   </t>
  </si>
  <si>
    <t xml:space="preserve">Programbladet                   </t>
  </si>
  <si>
    <t>Totalt</t>
  </si>
  <si>
    <t>(Alle)</t>
  </si>
  <si>
    <t>ANDRE</t>
  </si>
  <si>
    <t>Bonnier</t>
  </si>
  <si>
    <t>Andre</t>
  </si>
  <si>
    <t>SHT</t>
  </si>
  <si>
    <t>SHW</t>
  </si>
  <si>
    <t>Forlag</t>
  </si>
  <si>
    <t>Marked</t>
  </si>
  <si>
    <t>Utvikling</t>
  </si>
  <si>
    <t>Costume</t>
  </si>
  <si>
    <t>Norsk Motorveteran</t>
  </si>
  <si>
    <t>OPPLAGSTALL PER FORLAG</t>
  </si>
  <si>
    <t>OPPLAGSTALL PER FORLAG / TITTEL</t>
  </si>
  <si>
    <t>OPPLAGSTALL PER MARKED</t>
  </si>
  <si>
    <t>OPPLAGSTALL FAMILIEMARKEDET</t>
  </si>
  <si>
    <t>OPPLAGSTALL KVINNEMARKEDET</t>
  </si>
  <si>
    <t>OPPLAGSTALL AKTUALITETSMARKEDET</t>
  </si>
  <si>
    <t>OPPLAGSTALL PER MARKED / FORLAG</t>
  </si>
  <si>
    <t>Endring</t>
  </si>
  <si>
    <t>Boligpluss</t>
  </si>
  <si>
    <t>Hagen for alle</t>
  </si>
  <si>
    <t>BT</t>
  </si>
  <si>
    <t>Illustrert vitenskap Historie</t>
  </si>
  <si>
    <t>KK Kropp</t>
  </si>
  <si>
    <t>På TV</t>
  </si>
  <si>
    <t>Rom 123</t>
  </si>
  <si>
    <t>Bonnier Tidsskrifter</t>
  </si>
  <si>
    <t>Bil/Båt</t>
  </si>
  <si>
    <t>Friluftsliv</t>
  </si>
  <si>
    <t>Bolig</t>
  </si>
  <si>
    <t>Tot. 2008</t>
  </si>
  <si>
    <t>Opplag 2008</t>
  </si>
  <si>
    <t>Andel 2008</t>
  </si>
  <si>
    <t>VF</t>
  </si>
  <si>
    <t>Aller Norge</t>
  </si>
  <si>
    <t>Vagabond Forlag</t>
  </si>
  <si>
    <t>Pondus</t>
  </si>
  <si>
    <t>Ute og Hjemme</t>
  </si>
  <si>
    <t>Vi over 60</t>
  </si>
  <si>
    <t>GRIEG</t>
  </si>
  <si>
    <t>Grieg Media</t>
  </si>
  <si>
    <t>Ute og Inne</t>
  </si>
  <si>
    <t>Klatring</t>
  </si>
  <si>
    <t>Ute</t>
  </si>
  <si>
    <t>Andel 2009</t>
  </si>
  <si>
    <t>Opplag 2009</t>
  </si>
  <si>
    <t>Tot. 2009</t>
  </si>
  <si>
    <t>NYE TITLER I 2009:</t>
  </si>
  <si>
    <t>UTGÅTT TITLER I 2009</t>
  </si>
  <si>
    <t>Aktiv Trening</t>
  </si>
  <si>
    <t>Vi med hund</t>
  </si>
  <si>
    <t>Vakre hjem &amp; interiør</t>
  </si>
  <si>
    <t>SCH</t>
  </si>
  <si>
    <t>Schibsted</t>
  </si>
  <si>
    <t>Design Interiør</t>
  </si>
  <si>
    <t>Maison</t>
  </si>
  <si>
    <t>Maison Mat og Vin</t>
  </si>
  <si>
    <t>Det Nye Shape Up</t>
  </si>
  <si>
    <t>UTMELDT TITLER I 2009</t>
  </si>
  <si>
    <t>AM</t>
  </si>
  <si>
    <t>OPPLAGSTALL HELÅR 2008 OG 2009 (Gjennomsnittlig opplag per tittel)</t>
  </si>
  <si>
    <t>OPPLAGSTALL PER FORLAG (Tallene er frekvenskorrigert)</t>
  </si>
  <si>
    <t>OPPLAGSTALL PER MARKED / FORLAG / TITTEL (Tallene er frekvenskorrigert)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</si>
</sst>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0.0\ %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164" fontId="3" fillId="0" borderId="0" xfId="2" applyFont="1" applyAlignment="1">
      <alignment horizontal="left"/>
    </xf>
    <xf numFmtId="165" fontId="4" fillId="0" borderId="0" xfId="2" applyNumberFormat="1" applyFont="1"/>
    <xf numFmtId="3" fontId="4" fillId="0" borderId="0" xfId="2" applyNumberFormat="1" applyFont="1"/>
    <xf numFmtId="166" fontId="4" fillId="0" borderId="0" xfId="2" applyNumberFormat="1" applyFont="1"/>
    <xf numFmtId="164" fontId="4" fillId="0" borderId="0" xfId="2" applyFont="1"/>
    <xf numFmtId="0" fontId="4" fillId="0" borderId="0" xfId="0" applyFont="1"/>
    <xf numFmtId="164" fontId="5" fillId="0" borderId="0" xfId="2" applyFont="1" applyAlignment="1">
      <alignment horizontal="left"/>
    </xf>
    <xf numFmtId="164" fontId="5" fillId="2" borderId="1" xfId="2" applyFont="1" applyFill="1" applyBorder="1"/>
    <xf numFmtId="165" fontId="5" fillId="2" borderId="1" xfId="2" applyNumberFormat="1" applyFont="1" applyFill="1" applyBorder="1"/>
    <xf numFmtId="165" fontId="5" fillId="2" borderId="1" xfId="2" applyNumberFormat="1" applyFont="1" applyFill="1" applyBorder="1" applyAlignment="1">
      <alignment horizontal="center"/>
    </xf>
    <xf numFmtId="3" fontId="5" fillId="2" borderId="1" xfId="2" applyNumberFormat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center"/>
    </xf>
    <xf numFmtId="0" fontId="5" fillId="0" borderId="0" xfId="0" applyFont="1"/>
    <xf numFmtId="167" fontId="4" fillId="0" borderId="0" xfId="2" applyNumberFormat="1" applyFont="1"/>
    <xf numFmtId="165" fontId="0" fillId="0" borderId="0" xfId="2" applyNumberFormat="1" applyFont="1"/>
    <xf numFmtId="165" fontId="0" fillId="0" borderId="2" xfId="0" applyNumberFormat="1" applyBorder="1"/>
    <xf numFmtId="0" fontId="0" fillId="0" borderId="2" xfId="0" pivotButton="1" applyBorder="1"/>
    <xf numFmtId="165" fontId="0" fillId="0" borderId="0" xfId="0" applyNumberFormat="1"/>
    <xf numFmtId="168" fontId="0" fillId="0" borderId="0" xfId="0" applyNumberFormat="1"/>
    <xf numFmtId="0" fontId="6" fillId="4" borderId="0" xfId="0" applyFont="1" applyFill="1" applyBorder="1"/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right"/>
    </xf>
    <xf numFmtId="165" fontId="1" fillId="0" borderId="0" xfId="2" applyNumberFormat="1"/>
    <xf numFmtId="165" fontId="0" fillId="0" borderId="0" xfId="0" applyNumberFormat="1" applyAlignment="1">
      <alignment horizontal="left"/>
    </xf>
    <xf numFmtId="0" fontId="5" fillId="0" borderId="3" xfId="0" applyFont="1" applyBorder="1"/>
    <xf numFmtId="0" fontId="0" fillId="0" borderId="3" xfId="0" applyBorder="1"/>
    <xf numFmtId="165" fontId="1" fillId="0" borderId="3" xfId="2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7" fillId="0" borderId="3" xfId="2" applyNumberFormat="1" applyFont="1" applyBorder="1"/>
    <xf numFmtId="9" fontId="1" fillId="0" borderId="3" xfId="1" applyBorder="1"/>
    <xf numFmtId="0" fontId="0" fillId="0" borderId="4" xfId="0" applyBorder="1"/>
    <xf numFmtId="165" fontId="7" fillId="0" borderId="4" xfId="2" applyNumberFormat="1" applyFont="1" applyBorder="1"/>
    <xf numFmtId="9" fontId="1" fillId="0" borderId="4" xfId="1" applyBorder="1"/>
    <xf numFmtId="164" fontId="5" fillId="0" borderId="3" xfId="2" applyFont="1" applyBorder="1"/>
    <xf numFmtId="164" fontId="0" fillId="0" borderId="4" xfId="2" applyFont="1" applyBorder="1"/>
    <xf numFmtId="164" fontId="0" fillId="0" borderId="3" xfId="2" applyFont="1" applyBorder="1"/>
    <xf numFmtId="0" fontId="1" fillId="0" borderId="3" xfId="0" applyFont="1" applyBorder="1" applyAlignment="1">
      <alignment horizontal="center"/>
    </xf>
    <xf numFmtId="168" fontId="1" fillId="0" borderId="4" xfId="1" applyNumberFormat="1" applyFont="1" applyBorder="1"/>
    <xf numFmtId="168" fontId="1" fillId="0" borderId="3" xfId="1" applyNumberFormat="1" applyFont="1" applyBorder="1"/>
    <xf numFmtId="165" fontId="1" fillId="0" borderId="4" xfId="2" applyNumberFormat="1" applyBorder="1"/>
    <xf numFmtId="165" fontId="5" fillId="3" borderId="5" xfId="2" applyNumberFormat="1" applyFont="1" applyFill="1" applyBorder="1" applyAlignment="1">
      <alignment horizontal="center"/>
    </xf>
    <xf numFmtId="164" fontId="5" fillId="3" borderId="6" xfId="2" applyFont="1" applyFill="1" applyBorder="1" applyAlignment="1">
      <alignment horizontal="center"/>
    </xf>
    <xf numFmtId="166" fontId="5" fillId="2" borderId="6" xfId="2" applyNumberFormat="1" applyFont="1" applyFill="1" applyBorder="1" applyAlignment="1">
      <alignment horizontal="center"/>
    </xf>
    <xf numFmtId="165" fontId="7" fillId="0" borderId="4" xfId="2" applyNumberFormat="1" applyFont="1" applyFill="1" applyBorder="1"/>
    <xf numFmtId="3" fontId="4" fillId="0" borderId="0" xfId="2" applyNumberFormat="1" applyFont="1" applyFill="1" applyBorder="1"/>
    <xf numFmtId="3" fontId="4" fillId="0" borderId="0" xfId="0" applyNumberFormat="1" applyFont="1"/>
    <xf numFmtId="165" fontId="1" fillId="0" borderId="3" xfId="2" applyNumberFormat="1" applyFont="1" applyBorder="1" applyAlignment="1">
      <alignment horizontal="center"/>
    </xf>
    <xf numFmtId="164" fontId="5" fillId="0" borderId="1" xfId="2" applyFont="1" applyBorder="1"/>
    <xf numFmtId="165" fontId="5" fillId="0" borderId="1" xfId="2" applyNumberFormat="1" applyFont="1" applyBorder="1"/>
    <xf numFmtId="3" fontId="5" fillId="0" borderId="1" xfId="2" applyNumberFormat="1" applyFont="1" applyBorder="1"/>
    <xf numFmtId="1" fontId="5" fillId="2" borderId="5" xfId="2" applyNumberFormat="1" applyFont="1" applyFill="1" applyBorder="1" applyAlignment="1">
      <alignment horizontal="center"/>
    </xf>
    <xf numFmtId="9" fontId="0" fillId="0" borderId="0" xfId="1" applyFont="1"/>
    <xf numFmtId="168" fontId="0" fillId="0" borderId="0" xfId="1" applyNumberFormat="1" applyFont="1"/>
    <xf numFmtId="165" fontId="4" fillId="0" borderId="0" xfId="2" applyNumberFormat="1" applyFont="1" applyFill="1"/>
    <xf numFmtId="166" fontId="5" fillId="0" borderId="3" xfId="2" applyNumberFormat="1" applyFont="1" applyBorder="1"/>
    <xf numFmtId="9" fontId="4" fillId="0" borderId="0" xfId="1" applyNumberFormat="1" applyFont="1"/>
    <xf numFmtId="165" fontId="8" fillId="0" borderId="7" xfId="0" applyNumberFormat="1" applyFont="1" applyBorder="1"/>
    <xf numFmtId="168" fontId="8" fillId="0" borderId="7" xfId="0" applyNumberFormat="1" applyFont="1" applyBorder="1"/>
    <xf numFmtId="0" fontId="9" fillId="4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165" fontId="8" fillId="0" borderId="7" xfId="0" applyNumberFormat="1" applyFont="1" applyBorder="1" applyAlignment="1">
      <alignment horizontal="left"/>
    </xf>
    <xf numFmtId="165" fontId="10" fillId="0" borderId="0" xfId="0" applyNumberFormat="1" applyFont="1"/>
    <xf numFmtId="168" fontId="10" fillId="0" borderId="0" xfId="0" applyNumberFormat="1" applyFont="1"/>
    <xf numFmtId="0" fontId="10" fillId="0" borderId="0" xfId="0" applyFont="1" applyAlignment="1">
      <alignment horizontal="left"/>
    </xf>
    <xf numFmtId="165" fontId="6" fillId="4" borderId="0" xfId="0" applyNumberFormat="1" applyFont="1" applyFill="1" applyBorder="1" applyAlignment="1">
      <alignment horizontal="right"/>
    </xf>
    <xf numFmtId="10" fontId="8" fillId="0" borderId="7" xfId="0" applyNumberFormat="1" applyFont="1" applyBorder="1"/>
    <xf numFmtId="10" fontId="10" fillId="0" borderId="0" xfId="0" applyNumberFormat="1" applyFont="1"/>
    <xf numFmtId="10" fontId="0" fillId="0" borderId="0" xfId="0" applyNumberFormat="1"/>
    <xf numFmtId="166" fontId="4" fillId="0" borderId="5" xfId="2" applyNumberFormat="1" applyFont="1" applyBorder="1"/>
    <xf numFmtId="165" fontId="5" fillId="0" borderId="6" xfId="2" applyNumberFormat="1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right"/>
    </xf>
  </cellXfs>
  <cellStyles count="3">
    <cellStyle name="Normal" xfId="0" builtinId="0"/>
    <cellStyle name="Prosent" xfId="1" builtinId="5"/>
    <cellStyle name="Tusenskille" xfId="2" builtinId="3"/>
  </cellStyles>
  <dxfs count="83">
    <dxf>
      <numFmt numFmtId="165" formatCode="_(* #,##0_);_(* \(#,##0\);_(* &quot;-&quot;??_);_(@_)"/>
    </dxf>
    <dxf>
      <numFmt numFmtId="165" formatCode="_(* #,##0_);_(* \(#,##0\);_(* &quot;-&quot;??_);_(@_)"/>
    </dxf>
    <dxf>
      <numFmt numFmtId="14" formatCode="0.00\ %"/>
    </dxf>
    <dxf>
      <numFmt numFmtId="168" formatCode="0.0\ %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4" formatCode="0.00\ %"/>
    </dxf>
    <dxf>
      <numFmt numFmtId="168" formatCode="0.0\ %"/>
    </dxf>
    <dxf>
      <numFmt numFmtId="165" formatCode="_(* #,##0_);_(* \(#,##0\);_(* &quot;-&quot;??_);_(@_)"/>
    </dxf>
    <dxf>
      <numFmt numFmtId="14" formatCode="0.0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4" formatCode="0.00\ %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8" formatCode="0.0\ %"/>
    </dxf>
    <dxf>
      <numFmt numFmtId="14" formatCode="0.0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4" formatCode="0.00\ %"/>
    </dxf>
    <dxf>
      <numFmt numFmtId="165" formatCode="_(* #,##0_);_(* \(#,##0\);_(* &quot;-&quot;??_);_(@_)"/>
    </dxf>
    <dxf>
      <numFmt numFmtId="168" formatCode="0.0\ %"/>
    </dxf>
    <dxf>
      <numFmt numFmtId="14" formatCode="0.0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8" formatCode="0.0\ %"/>
    </dxf>
    <dxf>
      <numFmt numFmtId="14" formatCode="0.00\ %"/>
    </dxf>
    <dxf>
      <numFmt numFmtId="165" formatCode="_(* #,##0_);_(* \(#,##0\);_(* &quot;-&quot;??_);_(@_)"/>
    </dxf>
    <dxf>
      <numFmt numFmtId="168" formatCode="0.0\ %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FORLAG - OPPLAG 2008 OG 2009</a:t>
            </a:r>
          </a:p>
        </c:rich>
      </c:tx>
      <c:layout>
        <c:manualLayout>
          <c:xMode val="edge"/>
          <c:yMode val="edge"/>
          <c:x val="0.33910917075959635"/>
          <c:y val="2.9661016949152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212881084710201"/>
          <c:y val="0.16101711572381047"/>
          <c:w val="0.82054505031777725"/>
          <c:h val="0.57203449007143192"/>
        </c:manualLayout>
      </c:layout>
      <c:barChart>
        <c:barDir val="col"/>
        <c:grouping val="clustered"/>
        <c:ser>
          <c:idx val="0"/>
          <c:order val="0"/>
          <c:tx>
            <c:strRef>
              <c:f>'D-Forlag'!$B$2</c:f>
              <c:strCache>
                <c:ptCount val="1"/>
                <c:pt idx="0">
                  <c:v>Opplag 2008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'D-Forlag'!$B$3:$B$7</c:f>
              <c:numCache>
                <c:formatCode>_(* #,##0_);_(* \(#,##0\);_(* "-"??_);_(@_)</c:formatCode>
                <c:ptCount val="5"/>
                <c:pt idx="0">
                  <c:v>31725000</c:v>
                </c:pt>
                <c:pt idx="1">
                  <c:v>38521000</c:v>
                </c:pt>
                <c:pt idx="2">
                  <c:v>6678000</c:v>
                </c:pt>
                <c:pt idx="3">
                  <c:v>8596000</c:v>
                </c:pt>
                <c:pt idx="4">
                  <c:v>85520000</c:v>
                </c:pt>
              </c:numCache>
            </c:numRef>
          </c:val>
        </c:ser>
        <c:ser>
          <c:idx val="1"/>
          <c:order val="1"/>
          <c:tx>
            <c:strRef>
              <c:f>'D-Forlag'!$C$2</c:f>
              <c:strCache>
                <c:ptCount val="1"/>
                <c:pt idx="0">
                  <c:v>Andel 2008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'D-Forlag'!$C$3:$C$7</c:f>
              <c:numCache>
                <c:formatCode>0\ %</c:formatCode>
                <c:ptCount val="5"/>
                <c:pt idx="0">
                  <c:v>0.37096585594013098</c:v>
                </c:pt>
                <c:pt idx="1">
                  <c:v>0.45043264733395699</c:v>
                </c:pt>
                <c:pt idx="2">
                  <c:v>7.8086997193638916E-2</c:v>
                </c:pt>
                <c:pt idx="3">
                  <c:v>0.10051449953227315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'D-Forlag'!$D$2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'D-Forlag'!$D$3:$D$7</c:f>
              <c:numCache>
                <c:formatCode>_(* #,##0_);_(* \(#,##0\);_(* "-"??_);_(@_)</c:formatCode>
                <c:ptCount val="5"/>
                <c:pt idx="0">
                  <c:v>29800000</c:v>
                </c:pt>
                <c:pt idx="1">
                  <c:v>36603000</c:v>
                </c:pt>
                <c:pt idx="2">
                  <c:v>6415000</c:v>
                </c:pt>
                <c:pt idx="3">
                  <c:v>7795000</c:v>
                </c:pt>
                <c:pt idx="4">
                  <c:v>80613000</c:v>
                </c:pt>
              </c:numCache>
            </c:numRef>
          </c:val>
        </c:ser>
        <c:ser>
          <c:idx val="3"/>
          <c:order val="3"/>
          <c:tx>
            <c:strRef>
              <c:f>'D-Forlag'!$E$2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'D-Forlag'!$E$3:$E$7</c:f>
              <c:numCache>
                <c:formatCode>0\ %</c:formatCode>
                <c:ptCount val="5"/>
                <c:pt idx="0">
                  <c:v>0.36966742336843933</c:v>
                </c:pt>
                <c:pt idx="1">
                  <c:v>0.45405827844144242</c:v>
                </c:pt>
                <c:pt idx="2">
                  <c:v>7.9577735600957655E-2</c:v>
                </c:pt>
                <c:pt idx="3">
                  <c:v>9.6696562589160553E-2</c:v>
                </c:pt>
                <c:pt idx="4">
                  <c:v>1</c:v>
                </c:pt>
              </c:numCache>
            </c:numRef>
          </c:val>
        </c:ser>
        <c:axId val="89592192"/>
        <c:axId val="89593728"/>
      </c:barChart>
      <c:catAx>
        <c:axId val="895921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593728"/>
        <c:crosses val="autoZero"/>
        <c:auto val="1"/>
        <c:lblAlgn val="ctr"/>
        <c:lblOffset val="100"/>
        <c:tickMarkSkip val="1"/>
      </c:catAx>
      <c:valAx>
        <c:axId val="89593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5921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KVINNEMARKEDET - OPPLAG 2009</a:t>
            </a:r>
          </a:p>
        </c:rich>
      </c:tx>
      <c:layout>
        <c:manualLayout>
          <c:xMode val="edge"/>
          <c:yMode val="edge"/>
          <c:x val="0.32713793675418834"/>
          <c:y val="3.0487804878048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0249525937024"/>
          <c:y val="0.15447185132401892"/>
          <c:w val="0.84262803330723646"/>
          <c:h val="0.67886313608187476"/>
        </c:manualLayout>
      </c:layout>
      <c:barChart>
        <c:barDir val="col"/>
        <c:grouping val="clustered"/>
        <c:ser>
          <c:idx val="2"/>
          <c:order val="0"/>
          <c:tx>
            <c:strRef>
              <c:f>'D-Kvinne'!$D$2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'D-Kvinne'!$D$3:$D$7</c:f>
              <c:numCache>
                <c:formatCode>_(* #,##0_);_(* \(#,##0\);_(* "-"??_);_(@_)</c:formatCode>
                <c:ptCount val="5"/>
                <c:pt idx="0">
                  <c:v>4331000</c:v>
                </c:pt>
                <c:pt idx="1">
                  <c:v>2952000</c:v>
                </c:pt>
                <c:pt idx="2">
                  <c:v>817000</c:v>
                </c:pt>
                <c:pt idx="3">
                  <c:v>612000</c:v>
                </c:pt>
                <c:pt idx="4">
                  <c:v>8713000</c:v>
                </c:pt>
              </c:numCache>
            </c:numRef>
          </c:val>
        </c:ser>
        <c:ser>
          <c:idx val="3"/>
          <c:order val="1"/>
          <c:tx>
            <c:strRef>
              <c:f>'D-Kvinne'!$E$2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'D-Kvinne'!$E$3:$E$7</c:f>
              <c:numCache>
                <c:formatCode>0\ %</c:formatCode>
                <c:ptCount val="5"/>
                <c:pt idx="0">
                  <c:v>0.4970733386893148</c:v>
                </c:pt>
                <c:pt idx="1">
                  <c:v>0.33880408584873178</c:v>
                </c:pt>
                <c:pt idx="2">
                  <c:v>9.3767932973717438E-2</c:v>
                </c:pt>
                <c:pt idx="3">
                  <c:v>7.0239871456444392E-2</c:v>
                </c:pt>
                <c:pt idx="4">
                  <c:v>1</c:v>
                </c:pt>
              </c:numCache>
            </c:numRef>
          </c:val>
        </c:ser>
        <c:axId val="101084544"/>
        <c:axId val="101086336"/>
      </c:barChart>
      <c:catAx>
        <c:axId val="101084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1086336"/>
        <c:crosses val="autoZero"/>
        <c:auto val="1"/>
        <c:lblAlgn val="ctr"/>
        <c:lblOffset val="100"/>
        <c:tickMarkSkip val="1"/>
      </c:catAx>
      <c:valAx>
        <c:axId val="101086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1084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FORLAG - OPPLAG 2009</a:t>
            </a:r>
          </a:p>
        </c:rich>
      </c:tx>
      <c:layout>
        <c:manualLayout>
          <c:xMode val="edge"/>
          <c:yMode val="edge"/>
          <c:x val="0.38166099126085268"/>
          <c:y val="2.0325203252032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232981229889382"/>
          <c:y val="0.15447185132401892"/>
          <c:w val="0.82032317360204354"/>
          <c:h val="0.67886313608187476"/>
        </c:manualLayout>
      </c:layout>
      <c:barChart>
        <c:barDir val="col"/>
        <c:grouping val="clustered"/>
        <c:ser>
          <c:idx val="2"/>
          <c:order val="0"/>
          <c:tx>
            <c:strRef>
              <c:f>'D-Forlag'!$D$2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'D-Forlag'!$D$3:$D$7</c:f>
              <c:numCache>
                <c:formatCode>_(* #,##0_);_(* \(#,##0\);_(* "-"??_);_(@_)</c:formatCode>
                <c:ptCount val="5"/>
                <c:pt idx="0">
                  <c:v>29800000</c:v>
                </c:pt>
                <c:pt idx="1">
                  <c:v>36603000</c:v>
                </c:pt>
                <c:pt idx="2">
                  <c:v>6415000</c:v>
                </c:pt>
                <c:pt idx="3">
                  <c:v>7795000</c:v>
                </c:pt>
                <c:pt idx="4">
                  <c:v>80613000</c:v>
                </c:pt>
              </c:numCache>
            </c:numRef>
          </c:val>
        </c:ser>
        <c:ser>
          <c:idx val="3"/>
          <c:order val="1"/>
          <c:tx>
            <c:strRef>
              <c:f>'D-Forlag'!$E$2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'D-Forlag'!$A$3:$A$7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Bonnier</c:v>
                </c:pt>
                <c:pt idx="3">
                  <c:v>Andre</c:v>
                </c:pt>
                <c:pt idx="4">
                  <c:v>TOTALT</c:v>
                </c:pt>
              </c:strCache>
            </c:strRef>
          </c:cat>
          <c:val>
            <c:numRef>
              <c:f>'D-Forlag'!$E$3:$E$7</c:f>
              <c:numCache>
                <c:formatCode>0\ %</c:formatCode>
                <c:ptCount val="5"/>
                <c:pt idx="0">
                  <c:v>0.36966742336843933</c:v>
                </c:pt>
                <c:pt idx="1">
                  <c:v>0.45405827844144242</c:v>
                </c:pt>
                <c:pt idx="2">
                  <c:v>7.9577735600957655E-2</c:v>
                </c:pt>
                <c:pt idx="3">
                  <c:v>9.6696562589160553E-2</c:v>
                </c:pt>
                <c:pt idx="4">
                  <c:v>1</c:v>
                </c:pt>
              </c:numCache>
            </c:numRef>
          </c:val>
        </c:ser>
        <c:axId val="89646976"/>
        <c:axId val="89648512"/>
      </c:barChart>
      <c:catAx>
        <c:axId val="89646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648512"/>
        <c:crosses val="autoZero"/>
        <c:auto val="1"/>
        <c:lblAlgn val="ctr"/>
        <c:lblOffset val="100"/>
        <c:tickMarkSkip val="1"/>
      </c:catAx>
      <c:valAx>
        <c:axId val="89648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6469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ALLE MARKEDER - OPPLAG 2008 OG 2009</a:t>
            </a:r>
          </a:p>
        </c:rich>
      </c:tx>
      <c:layout>
        <c:manualLayout>
          <c:xMode val="edge"/>
          <c:yMode val="edge"/>
          <c:x val="0.29331696161742343"/>
          <c:y val="2.9661016949152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212881084710201"/>
          <c:y val="0.16101711572381047"/>
          <c:w val="0.82054505031777725"/>
          <c:h val="0.57203449007143192"/>
        </c:manualLayout>
      </c:layout>
      <c:barChart>
        <c:barDir val="col"/>
        <c:grouping val="clustered"/>
        <c:ser>
          <c:idx val="0"/>
          <c:order val="0"/>
          <c:tx>
            <c:strRef>
              <c:f>'D-Markeder'!$B$2</c:f>
              <c:strCache>
                <c:ptCount val="1"/>
                <c:pt idx="0">
                  <c:v>Opplag 2008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'D-Markeder'!$B$3:$B$11</c:f>
              <c:numCache>
                <c:formatCode>_(* #,##0_);_(* \(#,##0\);_(* "-"??_);_(@_)</c:formatCode>
                <c:ptCount val="9"/>
                <c:pt idx="0">
                  <c:v>22993000</c:v>
                </c:pt>
                <c:pt idx="1">
                  <c:v>8610000</c:v>
                </c:pt>
                <c:pt idx="2">
                  <c:v>26751000</c:v>
                </c:pt>
                <c:pt idx="3">
                  <c:v>3319000</c:v>
                </c:pt>
                <c:pt idx="4">
                  <c:v>1692000</c:v>
                </c:pt>
                <c:pt idx="5">
                  <c:v>1172000</c:v>
                </c:pt>
                <c:pt idx="6">
                  <c:v>5244000</c:v>
                </c:pt>
                <c:pt idx="7">
                  <c:v>15739000</c:v>
                </c:pt>
                <c:pt idx="8">
                  <c:v>85520000</c:v>
                </c:pt>
              </c:numCache>
            </c:numRef>
          </c:val>
        </c:ser>
        <c:ser>
          <c:idx val="1"/>
          <c:order val="1"/>
          <c:tx>
            <c:strRef>
              <c:f>'D-Markeder'!$C$2</c:f>
              <c:strCache>
                <c:ptCount val="1"/>
                <c:pt idx="0">
                  <c:v>Andel 2008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'D-Markeder'!$C$3:$C$11</c:f>
              <c:numCache>
                <c:formatCode>0\ %</c:formatCode>
                <c:ptCount val="9"/>
                <c:pt idx="0">
                  <c:v>0.26886108512628626</c:v>
                </c:pt>
                <c:pt idx="1">
                  <c:v>0.10067820392890552</c:v>
                </c:pt>
                <c:pt idx="2">
                  <c:v>0.31280402245088867</c:v>
                </c:pt>
                <c:pt idx="3">
                  <c:v>3.880963517305893E-2</c:v>
                </c:pt>
                <c:pt idx="4">
                  <c:v>1.9784845650140319E-2</c:v>
                </c:pt>
                <c:pt idx="5">
                  <c:v>1.3704396632366698E-2</c:v>
                </c:pt>
                <c:pt idx="6">
                  <c:v>6.1318989710009354E-2</c:v>
                </c:pt>
                <c:pt idx="7">
                  <c:v>0.18403882132834426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'D-Markeder'!$D$2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'D-Markeder'!$D$3:$D$11</c:f>
              <c:numCache>
                <c:formatCode>_(* #,##0_);_(* \(#,##0\);_(* "-"??_);_(@_)</c:formatCode>
                <c:ptCount val="9"/>
                <c:pt idx="0">
                  <c:v>21905000</c:v>
                </c:pt>
                <c:pt idx="1">
                  <c:v>8713000</c:v>
                </c:pt>
                <c:pt idx="2">
                  <c:v>24959000</c:v>
                </c:pt>
                <c:pt idx="3">
                  <c:v>3172000</c:v>
                </c:pt>
                <c:pt idx="4">
                  <c:v>1509000</c:v>
                </c:pt>
                <c:pt idx="5">
                  <c:v>1165000</c:v>
                </c:pt>
                <c:pt idx="6">
                  <c:v>4908000</c:v>
                </c:pt>
                <c:pt idx="7">
                  <c:v>14283000</c:v>
                </c:pt>
                <c:pt idx="8">
                  <c:v>80613000</c:v>
                </c:pt>
              </c:numCache>
            </c:numRef>
          </c:val>
        </c:ser>
        <c:ser>
          <c:idx val="3"/>
          <c:order val="3"/>
          <c:tx>
            <c:strRef>
              <c:f>'D-Markeder'!$E$2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'D-Markeder'!$E$3:$E$11</c:f>
              <c:numCache>
                <c:formatCode>0\ %</c:formatCode>
                <c:ptCount val="9"/>
                <c:pt idx="0">
                  <c:v>0.27173036606998874</c:v>
                </c:pt>
                <c:pt idx="1">
                  <c:v>0.10808430402044335</c:v>
                </c:pt>
                <c:pt idx="2">
                  <c:v>0.30961507449170728</c:v>
                </c:pt>
                <c:pt idx="3">
                  <c:v>3.9348492178680861E-2</c:v>
                </c:pt>
                <c:pt idx="4">
                  <c:v>1.8719065163187078E-2</c:v>
                </c:pt>
                <c:pt idx="5">
                  <c:v>1.4451763363229255E-2</c:v>
                </c:pt>
                <c:pt idx="6">
                  <c:v>6.0883480331956383E-2</c:v>
                </c:pt>
                <c:pt idx="7">
                  <c:v>0.17717985932789998</c:v>
                </c:pt>
                <c:pt idx="8">
                  <c:v>1</c:v>
                </c:pt>
              </c:numCache>
            </c:numRef>
          </c:val>
        </c:ser>
        <c:axId val="89908736"/>
        <c:axId val="89910272"/>
      </c:barChart>
      <c:catAx>
        <c:axId val="899087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910272"/>
        <c:crosses val="autoZero"/>
        <c:auto val="1"/>
        <c:lblAlgn val="ctr"/>
        <c:lblOffset val="100"/>
        <c:tickMarkSkip val="1"/>
      </c:catAx>
      <c:valAx>
        <c:axId val="89910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908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ALLE MARKEDER - OPPLAG 2009</a:t>
            </a:r>
          </a:p>
        </c:rich>
      </c:tx>
      <c:layout>
        <c:manualLayout>
          <c:xMode val="edge"/>
          <c:yMode val="edge"/>
          <c:x val="0.33581203836509388"/>
          <c:y val="3.0487804878048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232981229889382"/>
          <c:y val="0.15447185132401892"/>
          <c:w val="0.82032317360204354"/>
          <c:h val="0.67886313608187476"/>
        </c:manualLayout>
      </c:layout>
      <c:barChart>
        <c:barDir val="col"/>
        <c:grouping val="clustered"/>
        <c:ser>
          <c:idx val="2"/>
          <c:order val="0"/>
          <c:tx>
            <c:strRef>
              <c:f>'D-Markeder'!$D$2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'D-Markeder'!$D$3:$D$11</c:f>
              <c:numCache>
                <c:formatCode>_(* #,##0_);_(* \(#,##0\);_(* "-"??_);_(@_)</c:formatCode>
                <c:ptCount val="9"/>
                <c:pt idx="0">
                  <c:v>21905000</c:v>
                </c:pt>
                <c:pt idx="1">
                  <c:v>8713000</c:v>
                </c:pt>
                <c:pt idx="2">
                  <c:v>24959000</c:v>
                </c:pt>
                <c:pt idx="3">
                  <c:v>3172000</c:v>
                </c:pt>
                <c:pt idx="4">
                  <c:v>1509000</c:v>
                </c:pt>
                <c:pt idx="5">
                  <c:v>1165000</c:v>
                </c:pt>
                <c:pt idx="6">
                  <c:v>4908000</c:v>
                </c:pt>
                <c:pt idx="7">
                  <c:v>14283000</c:v>
                </c:pt>
                <c:pt idx="8">
                  <c:v>80613000</c:v>
                </c:pt>
              </c:numCache>
            </c:numRef>
          </c:val>
        </c:ser>
        <c:ser>
          <c:idx val="3"/>
          <c:order val="1"/>
          <c:tx>
            <c:strRef>
              <c:f>'D-Markeder'!$E$2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'D-Markeder'!$A$3:$A$11</c:f>
              <c:strCache>
                <c:ptCount val="9"/>
                <c:pt idx="0">
                  <c:v>Familie</c:v>
                </c:pt>
                <c:pt idx="1">
                  <c:v>Kvinne</c:v>
                </c:pt>
                <c:pt idx="2">
                  <c:v>Aktualitet</c:v>
                </c:pt>
                <c:pt idx="3">
                  <c:v>Bolig</c:v>
                </c:pt>
                <c:pt idx="4">
                  <c:v>Bil/Båt</c:v>
                </c:pt>
                <c:pt idx="5">
                  <c:v>Friluftsliv</c:v>
                </c:pt>
                <c:pt idx="6">
                  <c:v>Mann</c:v>
                </c:pt>
                <c:pt idx="7">
                  <c:v>Annet</c:v>
                </c:pt>
                <c:pt idx="8">
                  <c:v>TOTALT</c:v>
                </c:pt>
              </c:strCache>
            </c:strRef>
          </c:cat>
          <c:val>
            <c:numRef>
              <c:f>'D-Markeder'!$E$3:$E$11</c:f>
              <c:numCache>
                <c:formatCode>0\ %</c:formatCode>
                <c:ptCount val="9"/>
                <c:pt idx="0">
                  <c:v>0.27173036606998874</c:v>
                </c:pt>
                <c:pt idx="1">
                  <c:v>0.10808430402044335</c:v>
                </c:pt>
                <c:pt idx="2">
                  <c:v>0.30961507449170728</c:v>
                </c:pt>
                <c:pt idx="3">
                  <c:v>3.9348492178680861E-2</c:v>
                </c:pt>
                <c:pt idx="4">
                  <c:v>1.8719065163187078E-2</c:v>
                </c:pt>
                <c:pt idx="5">
                  <c:v>1.4451763363229255E-2</c:v>
                </c:pt>
                <c:pt idx="6">
                  <c:v>6.0883480331956383E-2</c:v>
                </c:pt>
                <c:pt idx="7">
                  <c:v>0.17717985932789998</c:v>
                </c:pt>
                <c:pt idx="8">
                  <c:v>1</c:v>
                </c:pt>
              </c:numCache>
            </c:numRef>
          </c:val>
        </c:ser>
        <c:axId val="89951232"/>
        <c:axId val="89961216"/>
      </c:barChart>
      <c:catAx>
        <c:axId val="89951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961216"/>
        <c:crosses val="autoZero"/>
        <c:auto val="1"/>
        <c:lblAlgn val="ctr"/>
        <c:lblOffset val="100"/>
        <c:tickMarkSkip val="1"/>
      </c:catAx>
      <c:valAx>
        <c:axId val="89961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951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AKTUALITETSMARKEDET - OPPLAG 2008 OG 2009</a:t>
            </a:r>
          </a:p>
        </c:rich>
      </c:tx>
      <c:layout>
        <c:manualLayout>
          <c:xMode val="edge"/>
          <c:yMode val="edge"/>
          <c:x val="0.25371300122138174"/>
          <c:y val="2.9661016949152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099019025455301"/>
          <c:y val="0.16101711572381047"/>
          <c:w val="0.8316836709103248"/>
          <c:h val="0.57203449007143192"/>
        </c:manualLayout>
      </c:layout>
      <c:barChart>
        <c:barDir val="col"/>
        <c:grouping val="clustered"/>
        <c:ser>
          <c:idx val="0"/>
          <c:order val="0"/>
          <c:tx>
            <c:strRef>
              <c:f>'D-Aktualitet'!$B$2</c:f>
              <c:strCache>
                <c:ptCount val="1"/>
                <c:pt idx="0">
                  <c:v>Opplag 2008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'D-Aktualitet'!$B$3:$B$8</c:f>
              <c:numCache>
                <c:formatCode>_(* #,##0_);_(* \(#,##0\);_(* "-"??_);_(@_)</c:formatCode>
                <c:ptCount val="6"/>
                <c:pt idx="0">
                  <c:v>10705000</c:v>
                </c:pt>
                <c:pt idx="1">
                  <c:v>8404000</c:v>
                </c:pt>
                <c:pt idx="2">
                  <c:v>19109000</c:v>
                </c:pt>
                <c:pt idx="3">
                  <c:v>7642000</c:v>
                </c:pt>
                <c:pt idx="4">
                  <c:v>0</c:v>
                </c:pt>
                <c:pt idx="5">
                  <c:v>26751000</c:v>
                </c:pt>
              </c:numCache>
            </c:numRef>
          </c:val>
        </c:ser>
        <c:ser>
          <c:idx val="1"/>
          <c:order val="1"/>
          <c:tx>
            <c:strRef>
              <c:f>'D-Aktualitet'!$C$2</c:f>
              <c:strCache>
                <c:ptCount val="1"/>
                <c:pt idx="0">
                  <c:v>Andel 2008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'D-Aktualitet'!$C$3:$C$8</c:f>
              <c:numCache>
                <c:formatCode>0\ %</c:formatCode>
                <c:ptCount val="6"/>
                <c:pt idx="0">
                  <c:v>0.40017195618855372</c:v>
                </c:pt>
                <c:pt idx="1">
                  <c:v>0.31415648013158387</c:v>
                </c:pt>
                <c:pt idx="2">
                  <c:v>0.71432843632013754</c:v>
                </c:pt>
                <c:pt idx="3">
                  <c:v>0.28567156367986246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'D-Aktualitet'!$D$2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'D-Aktualitet'!$D$3:$D$8</c:f>
              <c:numCache>
                <c:formatCode>_(* #,##0_);_(* \(#,##0\);_(* "-"??_);_(@_)</c:formatCode>
                <c:ptCount val="6"/>
                <c:pt idx="0">
                  <c:v>10138000</c:v>
                </c:pt>
                <c:pt idx="1">
                  <c:v>7666000</c:v>
                </c:pt>
                <c:pt idx="2">
                  <c:v>17804000</c:v>
                </c:pt>
                <c:pt idx="3">
                  <c:v>7155000</c:v>
                </c:pt>
                <c:pt idx="4">
                  <c:v>0</c:v>
                </c:pt>
                <c:pt idx="5">
                  <c:v>24959000</c:v>
                </c:pt>
              </c:numCache>
            </c:numRef>
          </c:val>
        </c:ser>
        <c:ser>
          <c:idx val="3"/>
          <c:order val="3"/>
          <c:tx>
            <c:strRef>
              <c:f>'D-Aktualitet'!$E$2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'D-Aktualitet'!$E$3:$E$8</c:f>
              <c:numCache>
                <c:formatCode>0\ %</c:formatCode>
                <c:ptCount val="6"/>
                <c:pt idx="0">
                  <c:v>0.40618614527825636</c:v>
                </c:pt>
                <c:pt idx="1">
                  <c:v>0.30714371569373772</c:v>
                </c:pt>
                <c:pt idx="2">
                  <c:v>0.71332986097199402</c:v>
                </c:pt>
                <c:pt idx="3">
                  <c:v>0.28667013902800592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axId val="100477184"/>
        <c:axId val="100487168"/>
      </c:barChart>
      <c:catAx>
        <c:axId val="100477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487168"/>
        <c:crosses val="autoZero"/>
        <c:auto val="1"/>
        <c:lblAlgn val="ctr"/>
        <c:lblOffset val="100"/>
        <c:tickMarkSkip val="1"/>
      </c:catAx>
      <c:valAx>
        <c:axId val="100487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477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AKTUALITETSMARKEDET - OPPLAG 2009</a:t>
            </a:r>
          </a:p>
        </c:rich>
      </c:tx>
      <c:layout>
        <c:manualLayout>
          <c:xMode val="edge"/>
          <c:yMode val="edge"/>
          <c:x val="0.29615900242952903"/>
          <c:y val="3.0487804878048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17738244629864"/>
          <c:y val="0.15447185132401892"/>
          <c:w val="0.83147560345464078"/>
          <c:h val="0.67886313608187476"/>
        </c:manualLayout>
      </c:layout>
      <c:barChart>
        <c:barDir val="col"/>
        <c:grouping val="clustered"/>
        <c:ser>
          <c:idx val="2"/>
          <c:order val="0"/>
          <c:tx>
            <c:strRef>
              <c:f>'D-Aktualitet'!$D$2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'D-Aktualitet'!$D$3:$D$8</c:f>
              <c:numCache>
                <c:formatCode>_(* #,##0_);_(* \(#,##0\);_(* "-"??_);_(@_)</c:formatCode>
                <c:ptCount val="6"/>
                <c:pt idx="0">
                  <c:v>10138000</c:v>
                </c:pt>
                <c:pt idx="1">
                  <c:v>7666000</c:v>
                </c:pt>
                <c:pt idx="2">
                  <c:v>17804000</c:v>
                </c:pt>
                <c:pt idx="3">
                  <c:v>7155000</c:v>
                </c:pt>
                <c:pt idx="4">
                  <c:v>0</c:v>
                </c:pt>
                <c:pt idx="5">
                  <c:v>24959000</c:v>
                </c:pt>
              </c:numCache>
            </c:numRef>
          </c:val>
        </c:ser>
        <c:ser>
          <c:idx val="3"/>
          <c:order val="1"/>
          <c:tx>
            <c:strRef>
              <c:f>'D-Aktualitet'!$E$2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'D-Aktualitet'!$A$3:$A$8</c:f>
              <c:strCache>
                <c:ptCount val="6"/>
                <c:pt idx="0">
                  <c:v>SHT</c:v>
                </c:pt>
                <c:pt idx="1">
                  <c:v>SHW</c:v>
                </c:pt>
                <c:pt idx="2">
                  <c:v>AM</c:v>
                </c:pt>
                <c:pt idx="3">
                  <c:v>HM</c:v>
                </c:pt>
                <c:pt idx="4">
                  <c:v>ANDRE</c:v>
                </c:pt>
                <c:pt idx="5">
                  <c:v>TOTALT</c:v>
                </c:pt>
              </c:strCache>
            </c:strRef>
          </c:cat>
          <c:val>
            <c:numRef>
              <c:f>'D-Aktualitet'!$E$3:$E$8</c:f>
              <c:numCache>
                <c:formatCode>0\ %</c:formatCode>
                <c:ptCount val="6"/>
                <c:pt idx="0">
                  <c:v>0.40618614527825636</c:v>
                </c:pt>
                <c:pt idx="1">
                  <c:v>0.30714371569373772</c:v>
                </c:pt>
                <c:pt idx="2">
                  <c:v>0.71332986097199402</c:v>
                </c:pt>
                <c:pt idx="3">
                  <c:v>0.28667013902800592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axId val="100531584"/>
        <c:axId val="100603008"/>
      </c:barChart>
      <c:catAx>
        <c:axId val="100531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603008"/>
        <c:crosses val="autoZero"/>
        <c:auto val="1"/>
        <c:lblAlgn val="ctr"/>
        <c:lblOffset val="100"/>
        <c:tickMarkSkip val="1"/>
      </c:catAx>
      <c:valAx>
        <c:axId val="100603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53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FAMILIEMARKEDET - OPPLAG 2008 OG 2009</a:t>
            </a:r>
          </a:p>
        </c:rich>
      </c:tx>
      <c:layout>
        <c:manualLayout>
          <c:xMode val="edge"/>
          <c:yMode val="edge"/>
          <c:x val="0.28465359528078832"/>
          <c:y val="2.9661016949152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099019025455301"/>
          <c:y val="0.16101711572381047"/>
          <c:w val="0.8316836709103248"/>
          <c:h val="0.57203449007143192"/>
        </c:manualLayout>
      </c:layout>
      <c:barChart>
        <c:barDir val="col"/>
        <c:grouping val="clustered"/>
        <c:ser>
          <c:idx val="0"/>
          <c:order val="0"/>
          <c:tx>
            <c:strRef>
              <c:f>'D-Familie'!$B$2</c:f>
              <c:strCache>
                <c:ptCount val="1"/>
                <c:pt idx="0">
                  <c:v>Opplag 2008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'D-Familie'!$B$3:$B$6</c:f>
              <c:numCache>
                <c:formatCode>_(* #,##0_);_(* \(#,##0\);_(* "-"??_);_(@_)</c:formatCode>
                <c:ptCount val="4"/>
                <c:pt idx="0">
                  <c:v>4024000</c:v>
                </c:pt>
                <c:pt idx="1">
                  <c:v>18970000</c:v>
                </c:pt>
                <c:pt idx="3">
                  <c:v>22993000</c:v>
                </c:pt>
              </c:numCache>
            </c:numRef>
          </c:val>
        </c:ser>
        <c:ser>
          <c:idx val="1"/>
          <c:order val="1"/>
          <c:tx>
            <c:strRef>
              <c:f>'D-Familie'!$C$2</c:f>
              <c:strCache>
                <c:ptCount val="1"/>
                <c:pt idx="0">
                  <c:v>Andel 2008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'D-Familie'!$C$3:$C$6</c:f>
              <c:numCache>
                <c:formatCode>0\ %</c:formatCode>
                <c:ptCount val="4"/>
                <c:pt idx="0">
                  <c:v>0.17500978558691777</c:v>
                </c:pt>
                <c:pt idx="1">
                  <c:v>0.82503370591049452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'D-Familie'!$D$2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'D-Familie'!$D$3:$D$6</c:f>
              <c:numCache>
                <c:formatCode>_(* #,##0_);_(* \(#,##0\);_(* "-"??_);_(@_)</c:formatCode>
                <c:ptCount val="4"/>
                <c:pt idx="0">
                  <c:v>3795000</c:v>
                </c:pt>
                <c:pt idx="1">
                  <c:v>18110000</c:v>
                </c:pt>
                <c:pt idx="3">
                  <c:v>21905000</c:v>
                </c:pt>
              </c:numCache>
            </c:numRef>
          </c:val>
        </c:ser>
        <c:ser>
          <c:idx val="3"/>
          <c:order val="3"/>
          <c:tx>
            <c:strRef>
              <c:f>'D-Familie'!$E$2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'D-Familie'!$E$3:$E$6</c:f>
              <c:numCache>
                <c:formatCode>0\ %</c:formatCode>
                <c:ptCount val="4"/>
                <c:pt idx="0">
                  <c:v>0.17324811686829492</c:v>
                </c:pt>
                <c:pt idx="1">
                  <c:v>0.82675188313170511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axId val="89991424"/>
        <c:axId val="90005504"/>
      </c:barChart>
      <c:catAx>
        <c:axId val="899914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90005504"/>
        <c:crosses val="autoZero"/>
        <c:auto val="1"/>
        <c:lblAlgn val="ctr"/>
        <c:lblOffset val="100"/>
        <c:tickMarkSkip val="1"/>
      </c:catAx>
      <c:valAx>
        <c:axId val="9000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9991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FAMILIEMARKEDET - OPPLAG 2009</a:t>
            </a:r>
          </a:p>
        </c:rich>
      </c:tx>
      <c:layout>
        <c:manualLayout>
          <c:xMode val="edge"/>
          <c:yMode val="edge"/>
          <c:x val="0.32713793675418834"/>
          <c:y val="3.04878048780488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17738244629864"/>
          <c:y val="0.15447185132401892"/>
          <c:w val="0.83147560345464078"/>
          <c:h val="0.67886313608187476"/>
        </c:manualLayout>
      </c:layout>
      <c:barChart>
        <c:barDir val="col"/>
        <c:grouping val="clustered"/>
        <c:ser>
          <c:idx val="2"/>
          <c:order val="0"/>
          <c:tx>
            <c:strRef>
              <c:f>'D-Familie'!$D$2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'D-Familie'!$D$3:$D$6</c:f>
              <c:numCache>
                <c:formatCode>_(* #,##0_);_(* \(#,##0\);_(* "-"??_);_(@_)</c:formatCode>
                <c:ptCount val="4"/>
                <c:pt idx="0">
                  <c:v>3795000</c:v>
                </c:pt>
                <c:pt idx="1">
                  <c:v>18110000</c:v>
                </c:pt>
                <c:pt idx="3">
                  <c:v>21905000</c:v>
                </c:pt>
              </c:numCache>
            </c:numRef>
          </c:val>
        </c:ser>
        <c:ser>
          <c:idx val="3"/>
          <c:order val="1"/>
          <c:tx>
            <c:strRef>
              <c:f>'D-Familie'!$E$2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'D-Familie'!$A$3:$A$6</c:f>
              <c:strCache>
                <c:ptCount val="4"/>
                <c:pt idx="0">
                  <c:v>AM</c:v>
                </c:pt>
                <c:pt idx="1">
                  <c:v>HM</c:v>
                </c:pt>
                <c:pt idx="2">
                  <c:v>ANDRE</c:v>
                </c:pt>
                <c:pt idx="3">
                  <c:v>TOTALT</c:v>
                </c:pt>
              </c:strCache>
            </c:strRef>
          </c:cat>
          <c:val>
            <c:numRef>
              <c:f>'D-Familie'!$E$3:$E$6</c:f>
              <c:numCache>
                <c:formatCode>0\ %</c:formatCode>
                <c:ptCount val="4"/>
                <c:pt idx="0">
                  <c:v>0.17324811686829492</c:v>
                </c:pt>
                <c:pt idx="1">
                  <c:v>0.82675188313170511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axId val="100928512"/>
        <c:axId val="100938496"/>
      </c:barChart>
      <c:catAx>
        <c:axId val="100928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938496"/>
        <c:crosses val="autoZero"/>
        <c:auto val="1"/>
        <c:lblAlgn val="ctr"/>
        <c:lblOffset val="100"/>
        <c:tickMarkSkip val="1"/>
      </c:catAx>
      <c:valAx>
        <c:axId val="100938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09285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KVINNEMARKEDET - OPPLAG 2008 OG 2009</a:t>
            </a:r>
          </a:p>
        </c:rich>
      </c:tx>
      <c:layout>
        <c:manualLayout>
          <c:xMode val="edge"/>
          <c:yMode val="edge"/>
          <c:x val="0.28465359528078832"/>
          <c:y val="2.9661016949152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099019025455301"/>
          <c:y val="0.16101711572381047"/>
          <c:w val="0.8316836709103248"/>
          <c:h val="0.57203449007143192"/>
        </c:manualLayout>
      </c:layout>
      <c:barChart>
        <c:barDir val="col"/>
        <c:grouping val="clustered"/>
        <c:ser>
          <c:idx val="0"/>
          <c:order val="0"/>
          <c:tx>
            <c:strRef>
              <c:f>'D-Kvinne'!$B$2</c:f>
              <c:strCache>
                <c:ptCount val="1"/>
                <c:pt idx="0">
                  <c:v>Opplag 2008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'D-Kvinne'!$B$3:$B$7</c:f>
              <c:numCache>
                <c:formatCode>_(* #,##0_);_(* \(#,##0\);_(* "-"??_);_(@_)</c:formatCode>
                <c:ptCount val="5"/>
                <c:pt idx="0">
                  <c:v>4511000</c:v>
                </c:pt>
                <c:pt idx="1">
                  <c:v>2878000</c:v>
                </c:pt>
                <c:pt idx="2">
                  <c:v>758000</c:v>
                </c:pt>
                <c:pt idx="3">
                  <c:v>464000</c:v>
                </c:pt>
                <c:pt idx="4">
                  <c:v>8610000</c:v>
                </c:pt>
              </c:numCache>
            </c:numRef>
          </c:val>
        </c:ser>
        <c:ser>
          <c:idx val="1"/>
          <c:order val="1"/>
          <c:tx>
            <c:strRef>
              <c:f>'D-Kvinne'!$C$2</c:f>
              <c:strCache>
                <c:ptCount val="1"/>
                <c:pt idx="0">
                  <c:v>Andel 2008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'D-Kvinne'!$C$3:$C$7</c:f>
              <c:numCache>
                <c:formatCode>0\ %</c:formatCode>
                <c:ptCount val="5"/>
                <c:pt idx="0">
                  <c:v>0.5239256678281069</c:v>
                </c:pt>
                <c:pt idx="1">
                  <c:v>0.33426248548199766</c:v>
                </c:pt>
                <c:pt idx="2">
                  <c:v>8.8037166085946569E-2</c:v>
                </c:pt>
                <c:pt idx="3">
                  <c:v>5.389082462253194E-2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'D-Kvinne'!$D$2</c:f>
              <c:strCache>
                <c:ptCount val="1"/>
                <c:pt idx="0">
                  <c:v>Opplag 2009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'D-Kvinne'!$D$3:$D$7</c:f>
              <c:numCache>
                <c:formatCode>_(* #,##0_);_(* \(#,##0\);_(* "-"??_);_(@_)</c:formatCode>
                <c:ptCount val="5"/>
                <c:pt idx="0">
                  <c:v>4331000</c:v>
                </c:pt>
                <c:pt idx="1">
                  <c:v>2952000</c:v>
                </c:pt>
                <c:pt idx="2">
                  <c:v>817000</c:v>
                </c:pt>
                <c:pt idx="3">
                  <c:v>612000</c:v>
                </c:pt>
                <c:pt idx="4">
                  <c:v>8713000</c:v>
                </c:pt>
              </c:numCache>
            </c:numRef>
          </c:val>
        </c:ser>
        <c:ser>
          <c:idx val="3"/>
          <c:order val="3"/>
          <c:tx>
            <c:strRef>
              <c:f>'D-Kvinne'!$E$2</c:f>
              <c:strCache>
                <c:ptCount val="1"/>
                <c:pt idx="0">
                  <c:v>Andel 2009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'D-Kvinne'!$A$3:$A$7</c:f>
              <c:strCache>
                <c:ptCount val="5"/>
                <c:pt idx="0">
                  <c:v>AM</c:v>
                </c:pt>
                <c:pt idx="1">
                  <c:v>HM</c:v>
                </c:pt>
                <c:pt idx="2">
                  <c:v>BM</c:v>
                </c:pt>
                <c:pt idx="3">
                  <c:v>BPI</c:v>
                </c:pt>
                <c:pt idx="4">
                  <c:v>TOTALT</c:v>
                </c:pt>
              </c:strCache>
            </c:strRef>
          </c:cat>
          <c:val>
            <c:numRef>
              <c:f>'D-Kvinne'!$E$3:$E$7</c:f>
              <c:numCache>
                <c:formatCode>0\ %</c:formatCode>
                <c:ptCount val="5"/>
                <c:pt idx="0">
                  <c:v>0.4970733386893148</c:v>
                </c:pt>
                <c:pt idx="1">
                  <c:v>0.33880408584873178</c:v>
                </c:pt>
                <c:pt idx="2">
                  <c:v>9.3767932973717438E-2</c:v>
                </c:pt>
                <c:pt idx="3">
                  <c:v>7.0239871456444392E-2</c:v>
                </c:pt>
                <c:pt idx="4">
                  <c:v>1</c:v>
                </c:pt>
              </c:numCache>
            </c:numRef>
          </c:val>
        </c:ser>
        <c:axId val="101021952"/>
        <c:axId val="101044224"/>
      </c:barChart>
      <c:catAx>
        <c:axId val="101021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1044224"/>
        <c:crosses val="autoZero"/>
        <c:auto val="1"/>
        <c:lblAlgn val="ctr"/>
        <c:lblOffset val="100"/>
        <c:tickMarkSkip val="1"/>
      </c:catAx>
      <c:valAx>
        <c:axId val="1010442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01021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</c:dTable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9525</xdr:rowOff>
    </xdr:from>
    <xdr:to>
      <xdr:col>9</xdr:col>
      <xdr:colOff>695325</xdr:colOff>
      <xdr:row>65</xdr:row>
      <xdr:rowOff>133350</xdr:rowOff>
    </xdr:to>
    <xdr:graphicFrame macro="">
      <xdr:nvGraphicFramePr>
        <xdr:cNvPr id="175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8</xdr:row>
      <xdr:rowOff>66675</xdr:rowOff>
    </xdr:from>
    <xdr:to>
      <xdr:col>9</xdr:col>
      <xdr:colOff>685800</xdr:colOff>
      <xdr:row>37</xdr:row>
      <xdr:rowOff>57150</xdr:rowOff>
    </xdr:to>
    <xdr:graphicFrame macro="">
      <xdr:nvGraphicFramePr>
        <xdr:cNvPr id="175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42</xdr:row>
      <xdr:rowOff>9525</xdr:rowOff>
    </xdr:from>
    <xdr:to>
      <xdr:col>9</xdr:col>
      <xdr:colOff>695325</xdr:colOff>
      <xdr:row>69</xdr:row>
      <xdr:rowOff>133350</xdr:rowOff>
    </xdr:to>
    <xdr:graphicFrame macro="">
      <xdr:nvGraphicFramePr>
        <xdr:cNvPr id="13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12</xdr:row>
      <xdr:rowOff>66675</xdr:rowOff>
    </xdr:from>
    <xdr:to>
      <xdr:col>9</xdr:col>
      <xdr:colOff>685800</xdr:colOff>
      <xdr:row>41</xdr:row>
      <xdr:rowOff>57150</xdr:rowOff>
    </xdr:to>
    <xdr:graphicFrame macro="">
      <xdr:nvGraphicFramePr>
        <xdr:cNvPr id="134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9525</xdr:rowOff>
    </xdr:from>
    <xdr:to>
      <xdr:col>9</xdr:col>
      <xdr:colOff>695325</xdr:colOff>
      <xdr:row>66</xdr:row>
      <xdr:rowOff>133350</xdr:rowOff>
    </xdr:to>
    <xdr:graphicFrame macro="">
      <xdr:nvGraphicFramePr>
        <xdr:cNvPr id="113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9</xdr:row>
      <xdr:rowOff>66675</xdr:rowOff>
    </xdr:from>
    <xdr:to>
      <xdr:col>9</xdr:col>
      <xdr:colOff>685800</xdr:colOff>
      <xdr:row>38</xdr:row>
      <xdr:rowOff>57150</xdr:rowOff>
    </xdr:to>
    <xdr:graphicFrame macro="">
      <xdr:nvGraphicFramePr>
        <xdr:cNvPr id="113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9525</xdr:rowOff>
    </xdr:from>
    <xdr:to>
      <xdr:col>9</xdr:col>
      <xdr:colOff>695325</xdr:colOff>
      <xdr:row>64</xdr:row>
      <xdr:rowOff>133350</xdr:rowOff>
    </xdr:to>
    <xdr:graphicFrame macro="">
      <xdr:nvGraphicFramePr>
        <xdr:cNvPr id="16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7</xdr:row>
      <xdr:rowOff>66675</xdr:rowOff>
    </xdr:from>
    <xdr:to>
      <xdr:col>9</xdr:col>
      <xdr:colOff>685800</xdr:colOff>
      <xdr:row>36</xdr:row>
      <xdr:rowOff>57150</xdr:rowOff>
    </xdr:to>
    <xdr:graphicFrame macro="">
      <xdr:nvGraphicFramePr>
        <xdr:cNvPr id="164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9525</xdr:rowOff>
    </xdr:from>
    <xdr:to>
      <xdr:col>9</xdr:col>
      <xdr:colOff>695325</xdr:colOff>
      <xdr:row>65</xdr:row>
      <xdr:rowOff>133350</xdr:rowOff>
    </xdr:to>
    <xdr:graphicFrame macro="">
      <xdr:nvGraphicFramePr>
        <xdr:cNvPr id="154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8</xdr:row>
      <xdr:rowOff>66675</xdr:rowOff>
    </xdr:from>
    <xdr:to>
      <xdr:col>9</xdr:col>
      <xdr:colOff>685800</xdr:colOff>
      <xdr:row>37</xdr:row>
      <xdr:rowOff>57150</xdr:rowOff>
    </xdr:to>
    <xdr:graphicFrame macro="">
      <xdr:nvGraphicFramePr>
        <xdr:cNvPr id="154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n20728" refreshedDate="40224.842560648147" createdVersion="3" refreshedVersion="3" recordCount="67">
  <cacheSource type="worksheet">
    <worksheetSource ref="A3:K70" sheet="Opplagstall"/>
  </cacheSource>
  <cacheFields count="11">
    <cacheField name="Tittel" numFmtId="164">
      <sharedItems containsBlank="1" count="96">
        <s v="Allers"/>
        <s v="Alt om Fiske"/>
        <s v="Autofil"/>
        <s v="Auto Motor Sport"/>
        <s v="Bedre Helse"/>
        <s v="Bil"/>
        <s v="Bo Bedre"/>
        <s v="Boligpluss"/>
        <s v="Bonytt"/>
        <s v="Båtmagasinet"/>
        <s v="C!"/>
        <s v="Cosmopolitan"/>
        <s v="Costume"/>
        <s v="D!"/>
        <s v="Det Nye"/>
        <s v="Det Nye Shape Up"/>
        <s v="Digital Foto"/>
        <s v="Donald Duck &amp; Co."/>
        <s v="Elle"/>
        <s v="Elle Interiør"/>
        <s v="Familien"/>
        <s v="FHM"/>
        <s v="Foreldre &amp; Barn"/>
        <s v="Fri Flyt"/>
        <s v="Gatebil"/>
        <s v="Gjør det selv"/>
        <s v="Gravid"/>
        <s v="Hagen for alle"/>
        <s v="Henne"/>
        <s v="Her og Nå"/>
        <s v="Hjemmet"/>
        <s v="Hjemme-PC"/>
        <s v="Hytteliv"/>
        <s v="I form"/>
        <s v="Illustrert vitenskap"/>
        <s v="Illustrert vitenskap Historie"/>
        <s v="Jakt"/>
        <s v="Jeger, Hund &amp; Våpen"/>
        <s v="Julia"/>
        <s v="Kamille"/>
        <s v="KK"/>
        <s v="Klatring"/>
        <s v="Komputer for alle"/>
        <s v="Mag"/>
        <s v="Mann"/>
        <s v="National Geographic"/>
        <s v="Norsk Golf"/>
        <s v="Norsk Motorveteran"/>
        <s v="Norsk Ukeblad"/>
        <s v="På TV"/>
        <s v="Pondus"/>
        <s v="Rom 123"/>
        <s v="Se og Hør tirsdag"/>
        <s v="Se og Hør weekend"/>
        <s v="Spis Bedre"/>
        <s v="Tara"/>
        <s v="Terrengsykkel"/>
        <s v="Topp"/>
        <s v="TVGuiden"/>
        <s v="Ute"/>
        <s v="Vagabond"/>
        <s v="Villmarksliv"/>
        <s v="Vi Menn"/>
        <s v="Vi Menn båt"/>
        <s v="Vi over 60"/>
        <s v="Wendy"/>
        <s v="Woman"/>
        <s v="Hjernetrim " u="1"/>
        <m u="1"/>
        <s v="Ill vitenskap Historie" u="1"/>
        <s v="Det Nye Spesial/Shape Up" u="1"/>
        <s v="Motorbørsen" u="1"/>
        <s v="Red" u="1"/>
        <s v="Båtmarkedet" u="1"/>
        <s v="Witch" u="1"/>
        <s v="Girls" u="1"/>
        <s v="Vi Menn bil" u="1"/>
        <s v="MC-Børsen" u="1"/>
        <s v="DVD &amp; Hjemmekino" u="1"/>
        <s v="KK Kropp" u="1"/>
        <s v="Det Nye Makeup &amp; Hår" u="1"/>
        <s v="Billy" u="1"/>
        <s v="Shape Up" u="1"/>
        <s v="Ute og Hjemme" u="1"/>
        <s v="Samler &amp; Antikkbørsen" u="1"/>
        <s v="Autobørsen" u="1"/>
        <s v="Fantomet" u="1"/>
        <s v="PULS" u="1"/>
        <s v="Båter til salgs" u="1"/>
        <s v="In-Side Magazine" u="1"/>
        <s v="Bilmarkedet" u="1"/>
        <s v="Nemi" u="1"/>
        <s v="Max Power" u="1"/>
        <s v="Ute og Inne" u="1"/>
        <s v="Eva" u="1"/>
        <s v="Chica" u="1"/>
      </sharedItems>
    </cacheField>
    <cacheField name="Type" numFmtId="164">
      <sharedItems containsBlank="1" count="10">
        <s v="Familie"/>
        <s v="Friluftsliv"/>
        <s v="Bil/Båt"/>
        <s v="Annet"/>
        <s v="Bolig"/>
        <s v="Kvinne"/>
        <s v="Mann"/>
        <s v="Aktualitet"/>
        <m u="1"/>
        <s v="Interiør" u="1"/>
      </sharedItems>
    </cacheField>
    <cacheField name="Utgiver" numFmtId="165">
      <sharedItems containsBlank="1" count="19">
        <s v="AM"/>
        <s v="HM"/>
        <s v="BIL"/>
        <s v="BPI"/>
        <s v="BM"/>
        <s v="ESF"/>
        <s v="FF"/>
        <s v="BT"/>
        <s v="PRB"/>
        <s v="VF"/>
        <m u="1"/>
        <s v="AFJ" u="1"/>
        <s v="AN" u="1"/>
        <s v="HFN" u="1"/>
        <s v="FTF" u="1"/>
        <s v="SHF" u="1"/>
        <s v="MM" u="1"/>
        <s v="CD" u="1"/>
        <s v="DM" u="1"/>
      </sharedItems>
    </cacheField>
    <cacheField name="2009" numFmtId="165">
      <sharedItems containsSemiMixedTypes="0" containsString="0" containsNumber="1" containsInteger="1" minValue="4692" maxValue="198794"/>
    </cacheField>
    <cacheField name="  Frekvens" numFmtId="165">
      <sharedItems containsSemiMixedTypes="0" containsString="0" containsNumber="1" containsInteger="1" minValue="6" maxValue="53"/>
    </cacheField>
    <cacheField name="2008" numFmtId="165">
      <sharedItems containsSemiMixedTypes="0" containsString="0" containsNumber="1" containsInteger="1" minValue="4584" maxValue="214104"/>
    </cacheField>
    <cacheField name="  Frekvens2" numFmtId="165">
      <sharedItems containsSemiMixedTypes="0" containsString="0" containsNumber="1" containsInteger="1" minValue="2" maxValue="52"/>
    </cacheField>
    <cacheField name="Endring" numFmtId="3">
      <sharedItems containsSemiMixedTypes="0" containsString="0" containsNumber="1" containsInteger="1" minValue="-15310" maxValue="12336"/>
    </cacheField>
    <cacheField name="%" numFmtId="166">
      <sharedItems containsSemiMixedTypes="0" containsString="0" containsNumber="1" minValue="-32.734833982441089" maxValue="31.872674658949979"/>
    </cacheField>
    <cacheField name="Tot. 2009" numFmtId="165">
      <sharedItems containsSemiMixedTypes="0" containsString="0" containsNumber="1" containsInteger="1" minValue="28152" maxValue="10138494"/>
    </cacheField>
    <cacheField name="Tot. 2008" numFmtId="165">
      <sharedItems containsSemiMixedTypes="0" containsString="0" containsNumber="1" containsInteger="1" minValue="13338" maxValue="107052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n v="71602"/>
    <n v="53"/>
    <n v="77376"/>
    <n v="52"/>
    <n v="-5774"/>
    <n v="-7.4622622001654264"/>
    <n v="3794906"/>
    <n v="4023552"/>
  </r>
  <r>
    <x v="1"/>
    <x v="1"/>
    <x v="1"/>
    <n v="17574"/>
    <n v="10"/>
    <n v="19298"/>
    <n v="8"/>
    <n v="-1724"/>
    <n v="-8.9335682454140333"/>
    <n v="175740"/>
    <n v="154384"/>
  </r>
  <r>
    <x v="2"/>
    <x v="2"/>
    <x v="0"/>
    <n v="25314"/>
    <n v="11"/>
    <n v="30569"/>
    <n v="11"/>
    <n v="-5255"/>
    <n v="-17.190617946285453"/>
    <n v="278454"/>
    <n v="336259"/>
  </r>
  <r>
    <x v="3"/>
    <x v="2"/>
    <x v="1"/>
    <n v="17707"/>
    <n v="11"/>
    <n v="20086"/>
    <n v="11"/>
    <n v="-2379"/>
    <n v="-11.844070496863488"/>
    <n v="194777"/>
    <n v="220946"/>
  </r>
  <r>
    <x v="4"/>
    <x v="3"/>
    <x v="1"/>
    <n v="28098"/>
    <n v="9"/>
    <n v="29207"/>
    <n v="9"/>
    <n v="-1109"/>
    <n v="-3.7970349573732323"/>
    <n v="252882"/>
    <n v="262863"/>
  </r>
  <r>
    <x v="5"/>
    <x v="2"/>
    <x v="2"/>
    <n v="45423"/>
    <n v="10"/>
    <n v="46025"/>
    <n v="10"/>
    <n v="-602"/>
    <n v="-1.3079847908745248"/>
    <n v="454230"/>
    <n v="460250"/>
  </r>
  <r>
    <x v="6"/>
    <x v="4"/>
    <x v="3"/>
    <n v="33795"/>
    <n v="12"/>
    <n v="34426"/>
    <n v="12"/>
    <n v="-631"/>
    <n v="-1.8329169813513042"/>
    <n v="405540"/>
    <n v="413112"/>
  </r>
  <r>
    <x v="7"/>
    <x v="4"/>
    <x v="3"/>
    <n v="38055"/>
    <n v="12"/>
    <n v="32940"/>
    <n v="12"/>
    <n v="5115"/>
    <n v="15.52823315118397"/>
    <n v="456660"/>
    <n v="395280"/>
  </r>
  <r>
    <x v="8"/>
    <x v="4"/>
    <x v="1"/>
    <n v="44678"/>
    <n v="14"/>
    <n v="53884"/>
    <n v="14"/>
    <n v="-9206"/>
    <n v="-17.08484893474872"/>
    <n v="625492"/>
    <n v="754376"/>
  </r>
  <r>
    <x v="9"/>
    <x v="2"/>
    <x v="0"/>
    <n v="20275"/>
    <n v="11"/>
    <n v="20904"/>
    <n v="13"/>
    <n v="-629"/>
    <n v="-3.0089934940681209"/>
    <n v="223025"/>
    <n v="271752"/>
  </r>
  <r>
    <x v="10"/>
    <x v="5"/>
    <x v="1"/>
    <n v="25095"/>
    <n v="10"/>
    <n v="29808"/>
    <n v="10"/>
    <n v="-4713"/>
    <n v="-15.811191626409018"/>
    <n v="250950"/>
    <n v="298080"/>
  </r>
  <r>
    <x v="11"/>
    <x v="5"/>
    <x v="0"/>
    <n v="28529"/>
    <n v="12"/>
    <n v="25401"/>
    <n v="13"/>
    <n v="3128"/>
    <n v="12.314475808039054"/>
    <n v="342348"/>
    <n v="330213"/>
  </r>
  <r>
    <x v="12"/>
    <x v="5"/>
    <x v="4"/>
    <n v="37058"/>
    <n v="12"/>
    <n v="31568"/>
    <n v="12"/>
    <n v="5490"/>
    <n v="17.391028890015207"/>
    <n v="444696"/>
    <n v="378816"/>
  </r>
  <r>
    <x v="13"/>
    <x v="5"/>
    <x v="0"/>
    <n v="20380"/>
    <n v="11"/>
    <n v="30298"/>
    <n v="11"/>
    <n v="-9918"/>
    <n v="-32.734833982441089"/>
    <n v="224180"/>
    <n v="333278"/>
  </r>
  <r>
    <x v="14"/>
    <x v="5"/>
    <x v="1"/>
    <n v="42521"/>
    <n v="18"/>
    <n v="46035"/>
    <n v="16"/>
    <n v="-3514"/>
    <n v="-7.6333224720321491"/>
    <n v="765378"/>
    <n v="736560"/>
  </r>
  <r>
    <x v="15"/>
    <x v="5"/>
    <x v="1"/>
    <n v="22550"/>
    <n v="10"/>
    <n v="19084"/>
    <n v="10"/>
    <n v="3466"/>
    <n v="18.161810941102495"/>
    <n v="225500"/>
    <n v="190840"/>
  </r>
  <r>
    <x v="16"/>
    <x v="3"/>
    <x v="3"/>
    <n v="12044"/>
    <n v="18"/>
    <n v="12245"/>
    <n v="18"/>
    <n v="-201"/>
    <n v="-1.6414863209473254"/>
    <n v="216792"/>
    <n v="220410"/>
  </r>
  <r>
    <x v="17"/>
    <x v="3"/>
    <x v="5"/>
    <n v="87449"/>
    <n v="53"/>
    <n v="99216"/>
    <n v="52"/>
    <n v="-11767"/>
    <n v="-11.859982260925657"/>
    <n v="4634797"/>
    <n v="5159232"/>
  </r>
  <r>
    <x v="18"/>
    <x v="5"/>
    <x v="1"/>
    <n v="34514"/>
    <n v="12"/>
    <n v="31734"/>
    <n v="12"/>
    <n v="2780"/>
    <n v="8.7603201613411485"/>
    <n v="414168"/>
    <n v="380808"/>
  </r>
  <r>
    <x v="19"/>
    <x v="4"/>
    <x v="1"/>
    <n v="22109"/>
    <n v="8"/>
    <n v="21205"/>
    <n v="8"/>
    <n v="904"/>
    <n v="4.2631454845555297"/>
    <n v="176872"/>
    <n v="169640"/>
  </r>
  <r>
    <x v="20"/>
    <x v="0"/>
    <x v="1"/>
    <n v="111448"/>
    <n v="26"/>
    <n v="118809"/>
    <n v="26"/>
    <n v="-7361"/>
    <n v="-6.1956585780538509"/>
    <n v="2897648"/>
    <n v="3089034"/>
  </r>
  <r>
    <x v="21"/>
    <x v="6"/>
    <x v="4"/>
    <n v="47721"/>
    <n v="12"/>
    <n v="50648"/>
    <n v="12"/>
    <n v="-2927"/>
    <n v="-5.7791028273574474"/>
    <n v="572652"/>
    <n v="607776"/>
  </r>
  <r>
    <x v="22"/>
    <x v="3"/>
    <x v="1"/>
    <n v="50736"/>
    <n v="12"/>
    <n v="51212"/>
    <n v="12"/>
    <n v="-476"/>
    <n v="-0.92946965554948058"/>
    <n v="608832"/>
    <n v="614544"/>
  </r>
  <r>
    <x v="23"/>
    <x v="1"/>
    <x v="6"/>
    <n v="11733"/>
    <n v="8"/>
    <n v="11686"/>
    <n v="8"/>
    <n v="47"/>
    <n v="0.40219065548519595"/>
    <n v="93864"/>
    <n v="93488"/>
  </r>
  <r>
    <x v="24"/>
    <x v="2"/>
    <x v="0"/>
    <n v="16616"/>
    <n v="10"/>
    <n v="20068"/>
    <n v="10"/>
    <n v="-3452"/>
    <n v="-17.201514849511661"/>
    <n v="166160"/>
    <n v="200680"/>
  </r>
  <r>
    <x v="25"/>
    <x v="4"/>
    <x v="3"/>
    <n v="21011"/>
    <n v="18"/>
    <n v="23787"/>
    <n v="18"/>
    <n v="-2776"/>
    <n v="-11.670240047084542"/>
    <n v="378198"/>
    <n v="428166"/>
  </r>
  <r>
    <x v="26"/>
    <x v="3"/>
    <x v="1"/>
    <n v="10033"/>
    <n v="7"/>
    <n v="12688"/>
    <n v="7"/>
    <n v="-2655"/>
    <n v="-20.92528373266078"/>
    <n v="70231"/>
    <n v="88816"/>
  </r>
  <r>
    <x v="27"/>
    <x v="4"/>
    <x v="7"/>
    <n v="14597"/>
    <n v="15"/>
    <n v="13714"/>
    <n v="15"/>
    <n v="883"/>
    <n v="6.4386758057459534"/>
    <n v="218955"/>
    <n v="205710"/>
  </r>
  <r>
    <x v="28"/>
    <x v="5"/>
    <x v="0"/>
    <n v="32836"/>
    <n v="13"/>
    <n v="35533"/>
    <n v="17"/>
    <n v="-2697"/>
    <n v="-7.5901274871246445"/>
    <n v="426868"/>
    <n v="604061"/>
  </r>
  <r>
    <x v="29"/>
    <x v="7"/>
    <x v="1"/>
    <n v="135002"/>
    <n v="53"/>
    <n v="146964"/>
    <n v="52"/>
    <n v="-11962"/>
    <n v="-8.1394082904656919"/>
    <n v="7155106"/>
    <n v="7642128"/>
  </r>
  <r>
    <x v="30"/>
    <x v="0"/>
    <x v="1"/>
    <n v="184678"/>
    <n v="53"/>
    <n v="193936"/>
    <n v="52"/>
    <n v="-9258"/>
    <n v="-4.7737397904463332"/>
    <n v="9787934"/>
    <n v="10084672"/>
  </r>
  <r>
    <x v="31"/>
    <x v="3"/>
    <x v="1"/>
    <n v="20270"/>
    <n v="12"/>
    <n v="26060"/>
    <n v="12"/>
    <n v="-5790"/>
    <n v="-22.217958557175749"/>
    <n v="243240"/>
    <n v="312720"/>
  </r>
  <r>
    <x v="32"/>
    <x v="4"/>
    <x v="1"/>
    <n v="54491"/>
    <n v="11"/>
    <n v="59832"/>
    <n v="11"/>
    <n v="-5341"/>
    <n v="-8.9266613183580699"/>
    <n v="599401"/>
    <n v="658152"/>
  </r>
  <r>
    <x v="33"/>
    <x v="3"/>
    <x v="3"/>
    <n v="29599"/>
    <n v="18"/>
    <n v="35883"/>
    <n v="18"/>
    <n v="-6284"/>
    <n v="-17.512471086586963"/>
    <n v="532782"/>
    <n v="645894"/>
  </r>
  <r>
    <x v="34"/>
    <x v="3"/>
    <x v="3"/>
    <n v="64708"/>
    <n v="18"/>
    <n v="75426"/>
    <n v="18"/>
    <n v="-10718"/>
    <n v="-14.209954127224034"/>
    <n v="1164744"/>
    <n v="1357668"/>
  </r>
  <r>
    <x v="35"/>
    <x v="3"/>
    <x v="3"/>
    <n v="24169"/>
    <n v="18"/>
    <n v="24840"/>
    <n v="18"/>
    <n v="-671"/>
    <n v="-2.7012882447665056"/>
    <n v="435042"/>
    <n v="447120"/>
  </r>
  <r>
    <x v="36"/>
    <x v="1"/>
    <x v="1"/>
    <n v="18689"/>
    <n v="8"/>
    <n v="19693"/>
    <n v="8"/>
    <n v="-1004"/>
    <n v="-5.0982582643578933"/>
    <n v="149512"/>
    <n v="157544"/>
  </r>
  <r>
    <x v="37"/>
    <x v="1"/>
    <x v="0"/>
    <n v="17842"/>
    <n v="10"/>
    <n v="17830"/>
    <n v="11"/>
    <n v="12"/>
    <n v="6.7302299495232754E-2"/>
    <n v="178420"/>
    <n v="196130"/>
  </r>
  <r>
    <x v="38"/>
    <x v="3"/>
    <x v="5"/>
    <n v="17764"/>
    <n v="17"/>
    <n v="18713"/>
    <n v="17"/>
    <n v="-949"/>
    <n v="-5.0713407791374978"/>
    <n v="301988"/>
    <n v="318121"/>
  </r>
  <r>
    <x v="39"/>
    <x v="5"/>
    <x v="1"/>
    <n v="48010"/>
    <n v="27"/>
    <n v="50868"/>
    <n v="25"/>
    <n v="-2858"/>
    <n v="-5.6184634740898014"/>
    <n v="1296270"/>
    <n v="1271700"/>
  </r>
  <r>
    <x v="40"/>
    <x v="5"/>
    <x v="0"/>
    <n v="44239"/>
    <n v="51"/>
    <n v="43535"/>
    <n v="52"/>
    <n v="704"/>
    <n v="1.6170896979441829"/>
    <n v="2256189"/>
    <n v="2263820"/>
  </r>
  <r>
    <x v="41"/>
    <x v="1"/>
    <x v="6"/>
    <n v="4692"/>
    <n v="6"/>
    <n v="4584"/>
    <n v="3"/>
    <n v="108"/>
    <n v="2.3560209424083771"/>
    <n v="28152"/>
    <n v="13752"/>
  </r>
  <r>
    <x v="42"/>
    <x v="3"/>
    <x v="3"/>
    <n v="16159"/>
    <n v="18"/>
    <n v="17432"/>
    <n v="18"/>
    <n v="-1273"/>
    <n v="-7.3026617714547957"/>
    <n v="290862"/>
    <n v="313776"/>
  </r>
  <r>
    <x v="43"/>
    <x v="5"/>
    <x v="0"/>
    <n v="32298"/>
    <n v="12"/>
    <n v="33958"/>
    <n v="12"/>
    <n v="-1660"/>
    <n v="-4.888391542493669"/>
    <n v="387576"/>
    <n v="407496"/>
  </r>
  <r>
    <x v="44"/>
    <x v="6"/>
    <x v="1"/>
    <n v="14692"/>
    <n v="12"/>
    <n v="16665"/>
    <n v="12"/>
    <n v="-1973"/>
    <n v="-11.839183918391839"/>
    <n v="176304"/>
    <n v="199980"/>
  </r>
  <r>
    <x v="45"/>
    <x v="3"/>
    <x v="3"/>
    <n v="14917"/>
    <n v="12"/>
    <n v="16454"/>
    <n v="15"/>
    <n v="-1537"/>
    <n v="-9.3411936307280907"/>
    <n v="179004"/>
    <n v="246810"/>
  </r>
  <r>
    <x v="46"/>
    <x v="3"/>
    <x v="0"/>
    <n v="74856"/>
    <n v="8"/>
    <n v="77178"/>
    <n v="8"/>
    <n v="-2322"/>
    <n v="-3.0086294021612376"/>
    <n v="598848"/>
    <n v="617424"/>
  </r>
  <r>
    <x v="47"/>
    <x v="2"/>
    <x v="1"/>
    <n v="15191"/>
    <n v="10"/>
    <n v="14943"/>
    <n v="10"/>
    <n v="248"/>
    <n v="1.6596399652010976"/>
    <n v="151910"/>
    <n v="149430"/>
  </r>
  <r>
    <x v="48"/>
    <x v="0"/>
    <x v="1"/>
    <n v="102347"/>
    <n v="53"/>
    <n v="111462"/>
    <n v="52"/>
    <n v="-9115"/>
    <n v="-8.177674902657408"/>
    <n v="5424391"/>
    <n v="5796024"/>
  </r>
  <r>
    <x v="49"/>
    <x v="3"/>
    <x v="0"/>
    <n v="28476"/>
    <n v="51"/>
    <n v="27872"/>
    <n v="52"/>
    <n v="604"/>
    <n v="2.1670493685419059"/>
    <n v="1452276"/>
    <n v="1449344"/>
  </r>
  <r>
    <x v="50"/>
    <x v="3"/>
    <x v="5"/>
    <n v="89422"/>
    <n v="12"/>
    <n v="84945"/>
    <n v="13"/>
    <n v="4477"/>
    <n v="5.2704691270822295"/>
    <n v="1073064"/>
    <n v="1104285"/>
  </r>
  <r>
    <x v="51"/>
    <x v="4"/>
    <x v="1"/>
    <n v="31118"/>
    <n v="10"/>
    <n v="29447"/>
    <n v="10"/>
    <n v="1671"/>
    <n v="5.6746018270112408"/>
    <n v="311180"/>
    <n v="294470"/>
  </r>
  <r>
    <x v="52"/>
    <x v="7"/>
    <x v="0"/>
    <n v="198794"/>
    <n v="51"/>
    <n v="214104"/>
    <n v="50"/>
    <n v="-15310"/>
    <n v="-7.1507304861188956"/>
    <n v="10138494"/>
    <n v="10705200"/>
  </r>
  <r>
    <x v="53"/>
    <x v="7"/>
    <x v="0"/>
    <n v="150310"/>
    <n v="51"/>
    <n v="164782"/>
    <n v="51"/>
    <n v="-14472"/>
    <n v="-8.7825126530810405"/>
    <n v="7665810"/>
    <n v="8403882"/>
  </r>
  <r>
    <x v="54"/>
    <x v="3"/>
    <x v="7"/>
    <n v="11191"/>
    <n v="12"/>
    <n v="14503"/>
    <n v="12"/>
    <n v="-3312"/>
    <n v="-22.836654485278906"/>
    <n v="134292"/>
    <n v="174036"/>
  </r>
  <r>
    <x v="55"/>
    <x v="5"/>
    <x v="3"/>
    <n v="51040"/>
    <n v="12"/>
    <n v="38704"/>
    <n v="12"/>
    <n v="12336"/>
    <n v="31.872674658949979"/>
    <n v="612480"/>
    <n v="464448"/>
  </r>
  <r>
    <x v="56"/>
    <x v="1"/>
    <x v="6"/>
    <n v="7117"/>
    <n v="6"/>
    <n v="6450"/>
    <n v="6"/>
    <n v="667"/>
    <n v="10.34108527131783"/>
    <n v="42702"/>
    <n v="38700"/>
  </r>
  <r>
    <x v="57"/>
    <x v="5"/>
    <x v="0"/>
    <n v="53403"/>
    <n v="13"/>
    <n v="47640"/>
    <n v="12"/>
    <n v="5763"/>
    <n v="12.096977329974811"/>
    <n v="694239"/>
    <n v="571680"/>
  </r>
  <r>
    <x v="58"/>
    <x v="3"/>
    <x v="8"/>
    <n v="18577"/>
    <n v="47"/>
    <n v="21938"/>
    <n v="46"/>
    <n v="-3361"/>
    <n v="-15.320448536785486"/>
    <n v="873119"/>
    <n v="1009148"/>
  </r>
  <r>
    <x v="59"/>
    <x v="1"/>
    <x v="6"/>
    <n v="7701"/>
    <n v="6"/>
    <n v="6669"/>
    <n v="2"/>
    <n v="1032"/>
    <n v="15.474583895636528"/>
    <n v="46206"/>
    <n v="13338"/>
  </r>
  <r>
    <x v="60"/>
    <x v="3"/>
    <x v="9"/>
    <n v="10843"/>
    <n v="7"/>
    <n v="12467"/>
    <n v="7"/>
    <n v="-1624"/>
    <n v="-13.026389668725436"/>
    <n v="75901"/>
    <n v="87269"/>
  </r>
  <r>
    <x v="61"/>
    <x v="1"/>
    <x v="1"/>
    <n v="37523"/>
    <n v="12"/>
    <n v="42032"/>
    <n v="12"/>
    <n v="-4509"/>
    <n v="-10.727540921202893"/>
    <n v="450276"/>
    <n v="504384"/>
  </r>
  <r>
    <x v="62"/>
    <x v="6"/>
    <x v="1"/>
    <n v="81543"/>
    <n v="51"/>
    <n v="88727"/>
    <n v="50"/>
    <n v="-7184"/>
    <n v="-8.0967461990149552"/>
    <n v="4158693"/>
    <n v="4436350"/>
  </r>
  <r>
    <x v="63"/>
    <x v="2"/>
    <x v="1"/>
    <n v="5749"/>
    <n v="7"/>
    <n v="7464"/>
    <n v="7"/>
    <n v="-1715"/>
    <n v="-22.976956055734192"/>
    <n v="40243"/>
    <n v="52248"/>
  </r>
  <r>
    <x v="64"/>
    <x v="3"/>
    <x v="0"/>
    <n v="88407"/>
    <n v="11"/>
    <n v="91795"/>
    <n v="11"/>
    <n v="-3388"/>
    <n v="-3.6908328340323546"/>
    <n v="972477"/>
    <n v="1009745"/>
  </r>
  <r>
    <x v="65"/>
    <x v="3"/>
    <x v="5"/>
    <n v="10093"/>
    <n v="17"/>
    <n v="11534"/>
    <n v="26"/>
    <n v="-1441"/>
    <n v="-12.493497485694469"/>
    <n v="171581"/>
    <n v="299884"/>
  </r>
  <r>
    <x v="66"/>
    <x v="5"/>
    <x v="4"/>
    <n v="30999"/>
    <n v="12"/>
    <n v="31558"/>
    <n v="12"/>
    <n v="-559"/>
    <n v="-1.7713416566322326"/>
    <n v="371988"/>
    <n v="3786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4:E15" firstHeaderRow="0" firstDataRow="1" firstDataCol="1" rowPageCount="1" colPageCount="1"/>
  <pivotFields count="11">
    <pivotField compact="0" showAll="0" includeNewItemsInFilter="1"/>
    <pivotField axis="axisPage" compact="0" showAll="0" includeNewItemsInFilter="1">
      <items count="11">
        <item x="7"/>
        <item x="3"/>
        <item x="0"/>
        <item x="5"/>
        <item x="1"/>
        <item x="2"/>
        <item m="1" x="9"/>
        <item x="6"/>
        <item x="4"/>
        <item m="1" x="8"/>
        <item t="default"/>
      </items>
    </pivotField>
    <pivotField axis="axisRow" compact="0" showAll="0" includeNewItemsInFilter="1">
      <items count="20">
        <item m="1" x="12"/>
        <item x="2"/>
        <item x="4"/>
        <item x="3"/>
        <item x="7"/>
        <item x="5"/>
        <item x="6"/>
        <item x="1"/>
        <item m="1" x="16"/>
        <item x="8"/>
        <item x="9"/>
        <item m="1" x="11"/>
        <item m="1" x="18"/>
        <item m="1" x="14"/>
        <item m="1" x="13"/>
        <item m="1" x="15"/>
        <item m="1" x="17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1">
    <field x="2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0"/>
  </pageField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68"/>
  </dataFields>
  <formats count="8">
    <format dxfId="79">
      <pivotArea dataOnly="0" labelOnly="1" outline="0" fieldPosition="0">
        <references count="1">
          <reference field="1" count="0"/>
        </references>
      </pivotArea>
    </format>
    <format dxfId="78">
      <pivotArea outline="0" fieldPosition="0">
        <references count="1">
          <reference field="4294967294" count="1" selected="0">
            <x v="0"/>
          </reference>
        </references>
      </pivotArea>
    </format>
    <format dxfId="77">
      <pivotArea outline="0" fieldPosition="0">
        <references count="1">
          <reference field="4294967294" count="1">
            <x v="1"/>
          </reference>
        </references>
      </pivotArea>
    </format>
    <format dxfId="76">
      <pivotArea fieldPosition="0">
        <references count="2">
          <reference field="4294967294" count="1" selected="0">
            <x v="2"/>
          </reference>
          <reference field="2" count="1">
            <x v="0"/>
          </reference>
        </references>
      </pivotArea>
    </format>
    <format dxfId="75">
      <pivotArea outline="0" fieldPosition="0">
        <references count="1">
          <reference field="4294967294" count="1">
            <x v="3"/>
          </reference>
        </references>
      </pivotArea>
    </format>
    <format dxfId="74">
      <pivotArea fieldPosition="0">
        <references count="2">
          <reference field="4294967294" count="1" selected="0">
            <x v="3"/>
          </reference>
          <reference field="2" count="1">
            <x v="0"/>
          </reference>
        </references>
      </pivotArea>
    </format>
    <format dxfId="73">
      <pivotArea outline="0" fieldPosition="0">
        <references count="1">
          <reference field="4294967294" count="1" selected="0">
            <x v="2"/>
          </reference>
        </references>
      </pivotArea>
    </format>
    <format dxfId="72">
      <pivotArea outline="0" fieldPosition="0">
        <references count="1">
          <reference field="4294967294" count="1" selected="0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4:F92" firstHeaderRow="0" firstDataRow="1" firstDataCol="2" rowPageCount="1" colPageCount="1"/>
  <pivotFields count="11">
    <pivotField axis="axisRow" compact="0" showAll="0" includeNewItemsInFilter="1">
      <items count="97">
        <item x="0"/>
        <item x="1"/>
        <item x="3"/>
        <item m="1" x="85"/>
        <item x="2"/>
        <item x="4"/>
        <item x="5"/>
        <item m="1" x="81"/>
        <item m="1" x="90"/>
        <item x="6"/>
        <item x="8"/>
        <item m="1" x="88"/>
        <item x="9"/>
        <item m="1" x="73"/>
        <item x="10"/>
        <item m="1" x="95"/>
        <item x="11"/>
        <item x="13"/>
        <item x="14"/>
        <item m="1" x="80"/>
        <item x="16"/>
        <item x="17"/>
        <item m="1" x="78"/>
        <item x="18"/>
        <item x="19"/>
        <item m="1" x="94"/>
        <item x="20"/>
        <item m="1" x="86"/>
        <item x="21"/>
        <item x="22"/>
        <item x="23"/>
        <item x="24"/>
        <item m="1" x="75"/>
        <item x="25"/>
        <item x="26"/>
        <item x="28"/>
        <item x="29"/>
        <item x="31"/>
        <item x="30"/>
        <item m="1" x="67"/>
        <item x="32"/>
        <item x="33"/>
        <item m="1" x="69"/>
        <item x="34"/>
        <item m="1" x="89"/>
        <item x="36"/>
        <item x="37"/>
        <item x="38"/>
        <item x="39"/>
        <item x="40"/>
        <item x="42"/>
        <item x="43"/>
        <item x="44"/>
        <item m="1" x="92"/>
        <item m="1" x="77"/>
        <item m="1" x="71"/>
        <item x="45"/>
        <item m="1" x="91"/>
        <item x="46"/>
        <item x="48"/>
        <item m="1" x="87"/>
        <item m="1" x="72"/>
        <item m="1" x="84"/>
        <item x="52"/>
        <item x="53"/>
        <item m="1" x="82"/>
        <item x="54"/>
        <item x="55"/>
        <item x="56"/>
        <item x="57"/>
        <item x="58"/>
        <item x="60"/>
        <item x="62"/>
        <item m="1" x="76"/>
        <item x="63"/>
        <item x="61"/>
        <item x="65"/>
        <item m="1" x="74"/>
        <item x="66"/>
        <item x="12"/>
        <item x="47"/>
        <item x="7"/>
        <item x="27"/>
        <item x="35"/>
        <item m="1" x="79"/>
        <item x="49"/>
        <item x="51"/>
        <item x="50"/>
        <item m="1" x="93"/>
        <item m="1" x="83"/>
        <item x="64"/>
        <item x="41"/>
        <item x="59"/>
        <item m="1" x="70"/>
        <item m="1" x="68"/>
        <item x="15"/>
        <item t="default"/>
      </items>
    </pivotField>
    <pivotField axis="axisPage" compact="0" showAll="0" includeNewItemsInFilter="1">
      <items count="11">
        <item x="7"/>
        <item x="3"/>
        <item x="0"/>
        <item x="5"/>
        <item x="1"/>
        <item x="2"/>
        <item m="1" x="9"/>
        <item x="6"/>
        <item x="4"/>
        <item m="1" x="8"/>
        <item t="default"/>
      </items>
    </pivotField>
    <pivotField axis="axisRow" compact="0" showAll="0" insertBlankRow="1" includeNewItemsInFilter="1">
      <items count="20">
        <item m="1" x="12"/>
        <item x="2"/>
        <item x="4"/>
        <item x="3"/>
        <item x="7"/>
        <item x="5"/>
        <item x="6"/>
        <item x="1"/>
        <item m="1" x="16"/>
        <item x="8"/>
        <item x="9"/>
        <item m="1" x="11"/>
        <item m="1" x="18"/>
        <item m="1" x="14"/>
        <item m="1" x="13"/>
        <item m="1" x="15"/>
        <item m="1" x="17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2">
    <field x="2"/>
    <field x="0"/>
  </rowFields>
  <rowItems count="88">
    <i>
      <x v="1"/>
    </i>
    <i r="1">
      <x v="6"/>
    </i>
    <i t="blank">
      <x v="1"/>
    </i>
    <i>
      <x v="2"/>
    </i>
    <i r="1">
      <x v="28"/>
    </i>
    <i r="1">
      <x v="78"/>
    </i>
    <i r="1">
      <x v="79"/>
    </i>
    <i t="blank">
      <x v="2"/>
    </i>
    <i>
      <x v="3"/>
    </i>
    <i r="1">
      <x v="9"/>
    </i>
    <i r="1">
      <x v="20"/>
    </i>
    <i r="1">
      <x v="33"/>
    </i>
    <i r="1">
      <x v="41"/>
    </i>
    <i r="1">
      <x v="43"/>
    </i>
    <i r="1">
      <x v="50"/>
    </i>
    <i r="1">
      <x v="56"/>
    </i>
    <i r="1">
      <x v="67"/>
    </i>
    <i r="1">
      <x v="81"/>
    </i>
    <i r="1">
      <x v="83"/>
    </i>
    <i t="blank">
      <x v="3"/>
    </i>
    <i>
      <x v="4"/>
    </i>
    <i r="1">
      <x v="66"/>
    </i>
    <i r="1">
      <x v="82"/>
    </i>
    <i t="blank">
      <x v="4"/>
    </i>
    <i>
      <x v="5"/>
    </i>
    <i r="1">
      <x v="21"/>
    </i>
    <i r="1">
      <x v="47"/>
    </i>
    <i r="1">
      <x v="76"/>
    </i>
    <i r="1">
      <x v="87"/>
    </i>
    <i t="blank">
      <x v="5"/>
    </i>
    <i>
      <x v="6"/>
    </i>
    <i r="1">
      <x v="30"/>
    </i>
    <i r="1">
      <x v="68"/>
    </i>
    <i r="1">
      <x v="91"/>
    </i>
    <i r="1">
      <x v="92"/>
    </i>
    <i t="blank">
      <x v="6"/>
    </i>
    <i>
      <x v="7"/>
    </i>
    <i r="1">
      <x v="1"/>
    </i>
    <i r="1">
      <x v="2"/>
    </i>
    <i r="1">
      <x v="5"/>
    </i>
    <i r="1">
      <x v="10"/>
    </i>
    <i r="1">
      <x v="14"/>
    </i>
    <i r="1">
      <x v="18"/>
    </i>
    <i r="1">
      <x v="23"/>
    </i>
    <i r="1">
      <x v="24"/>
    </i>
    <i r="1">
      <x v="26"/>
    </i>
    <i r="1">
      <x v="29"/>
    </i>
    <i r="1">
      <x v="34"/>
    </i>
    <i r="1">
      <x v="36"/>
    </i>
    <i r="1">
      <x v="37"/>
    </i>
    <i r="1">
      <x v="38"/>
    </i>
    <i r="1">
      <x v="40"/>
    </i>
    <i r="1">
      <x v="45"/>
    </i>
    <i r="1">
      <x v="48"/>
    </i>
    <i r="1">
      <x v="52"/>
    </i>
    <i r="1">
      <x v="59"/>
    </i>
    <i r="1">
      <x v="72"/>
    </i>
    <i r="1">
      <x v="74"/>
    </i>
    <i r="1">
      <x v="75"/>
    </i>
    <i r="1">
      <x v="80"/>
    </i>
    <i r="1">
      <x v="86"/>
    </i>
    <i r="1">
      <x v="95"/>
    </i>
    <i t="blank">
      <x v="7"/>
    </i>
    <i>
      <x v="9"/>
    </i>
    <i r="1">
      <x v="70"/>
    </i>
    <i t="blank">
      <x v="9"/>
    </i>
    <i>
      <x v="10"/>
    </i>
    <i r="1">
      <x v="71"/>
    </i>
    <i t="blank">
      <x v="10"/>
    </i>
    <i>
      <x v="18"/>
    </i>
    <i r="1">
      <x/>
    </i>
    <i r="1">
      <x v="4"/>
    </i>
    <i r="1">
      <x v="12"/>
    </i>
    <i r="1">
      <x v="16"/>
    </i>
    <i r="1">
      <x v="17"/>
    </i>
    <i r="1">
      <x v="31"/>
    </i>
    <i r="1">
      <x v="35"/>
    </i>
    <i r="1">
      <x v="46"/>
    </i>
    <i r="1">
      <x v="49"/>
    </i>
    <i r="1">
      <x v="51"/>
    </i>
    <i r="1">
      <x v="58"/>
    </i>
    <i r="1">
      <x v="63"/>
    </i>
    <i r="1">
      <x v="64"/>
    </i>
    <i r="1">
      <x v="69"/>
    </i>
    <i r="1">
      <x v="85"/>
    </i>
    <i r="1">
      <x v="90"/>
    </i>
    <i t="blank">
      <x v="1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0"/>
  </pageField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10" showDataAs="percentOfCol" baseField="0" baseItem="0" numFmtId="168"/>
  </dataFields>
  <formats count="5">
    <format dxfId="71">
      <pivotArea dataOnly="0" labelOnly="1" outline="0" fieldPosition="0">
        <references count="1">
          <reference field="1" count="0"/>
        </references>
      </pivotArea>
    </format>
    <format dxfId="70">
      <pivotArea outline="0" fieldPosition="0">
        <references count="1">
          <reference field="4294967294" count="1" selected="0">
            <x v="0"/>
          </reference>
        </references>
      </pivotArea>
    </format>
    <format dxfId="69">
      <pivotArea outline="0" fieldPosition="0">
        <references count="1">
          <reference field="4294967294" count="1">
            <x v="1"/>
          </reference>
        </references>
      </pivotArea>
    </format>
    <format dxfId="68">
      <pivotArea outline="0" fieldPosition="0">
        <references count="1">
          <reference field="4294967294" count="1">
            <x v="3"/>
          </reference>
        </references>
      </pivotArea>
    </format>
    <format dxfId="67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3:F46" firstHeaderRow="0" firstDataRow="1" firstDataCol="2"/>
  <pivotFields count="11">
    <pivotField compact="0" showAll="0" includeNewItemsInFilter="1"/>
    <pivotField axis="axisRow" compact="0" showAll="0" insertBlankRow="1" includeNewItemsInFilter="1" sortType="ascending">
      <items count="11">
        <item x="7"/>
        <item x="3"/>
        <item x="2"/>
        <item x="4"/>
        <item x="0"/>
        <item x="1"/>
        <item m="1" x="9"/>
        <item x="5"/>
        <item x="6"/>
        <item m="1" x="8"/>
        <item t="default"/>
      </items>
    </pivotField>
    <pivotField axis="axisRow" compact="0" showAll="0" includeNewItemsInFilter="1">
      <items count="20">
        <item m="1" x="11"/>
        <item x="2"/>
        <item x="4"/>
        <item x="3"/>
        <item m="1" x="18"/>
        <item x="5"/>
        <item x="6"/>
        <item m="1" x="14"/>
        <item m="1" x="13"/>
        <item x="1"/>
        <item x="8"/>
        <item m="1" x="15"/>
        <item x="7"/>
        <item m="1" x="16"/>
        <item m="1" x="17"/>
        <item m="1" x="12"/>
        <item x="9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2">
    <field x="1"/>
    <field x="2"/>
  </rowFields>
  <rowItems count="43">
    <i>
      <x/>
    </i>
    <i r="1">
      <x v="9"/>
    </i>
    <i r="1">
      <x v="18"/>
    </i>
    <i t="blank">
      <x/>
    </i>
    <i>
      <x v="1"/>
    </i>
    <i r="1">
      <x v="3"/>
    </i>
    <i r="1">
      <x v="5"/>
    </i>
    <i r="1">
      <x v="9"/>
    </i>
    <i r="1">
      <x v="10"/>
    </i>
    <i r="1">
      <x v="12"/>
    </i>
    <i r="1">
      <x v="16"/>
    </i>
    <i r="1">
      <x v="18"/>
    </i>
    <i t="blank">
      <x v="1"/>
    </i>
    <i>
      <x v="2"/>
    </i>
    <i r="1">
      <x v="1"/>
    </i>
    <i r="1">
      <x v="9"/>
    </i>
    <i r="1">
      <x v="18"/>
    </i>
    <i t="blank">
      <x v="2"/>
    </i>
    <i>
      <x v="3"/>
    </i>
    <i r="1">
      <x v="3"/>
    </i>
    <i r="1">
      <x v="9"/>
    </i>
    <i r="1">
      <x v="12"/>
    </i>
    <i t="blank">
      <x v="3"/>
    </i>
    <i>
      <x v="4"/>
    </i>
    <i r="1">
      <x v="9"/>
    </i>
    <i r="1">
      <x v="18"/>
    </i>
    <i t="blank">
      <x v="4"/>
    </i>
    <i>
      <x v="5"/>
    </i>
    <i r="1">
      <x v="6"/>
    </i>
    <i r="1">
      <x v="9"/>
    </i>
    <i r="1">
      <x v="18"/>
    </i>
    <i t="blank">
      <x v="5"/>
    </i>
    <i>
      <x v="7"/>
    </i>
    <i r="1">
      <x v="2"/>
    </i>
    <i r="1">
      <x v="3"/>
    </i>
    <i r="1">
      <x v="9"/>
    </i>
    <i r="1">
      <x v="18"/>
    </i>
    <i t="blank">
      <x v="7"/>
    </i>
    <i>
      <x v="8"/>
    </i>
    <i r="1">
      <x v="2"/>
    </i>
    <i r="1">
      <x v="9"/>
    </i>
    <i t="blank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68"/>
  </dataFields>
  <formats count="5">
    <format dxfId="66">
      <pivotArea dataOnly="0" labelOnly="1" outline="0" fieldPosition="0">
        <references count="1">
          <reference field="1" count="0"/>
        </references>
      </pivotArea>
    </format>
    <format dxfId="65">
      <pivotArea outline="0" fieldPosition="0">
        <references count="1">
          <reference field="4294967294" count="1">
            <x v="1"/>
          </reference>
        </references>
      </pivotArea>
    </format>
    <format dxfId="64">
      <pivotArea outline="0" fieldPosition="0">
        <references count="1">
          <reference field="4294967294" count="1" selected="0">
            <x v="0"/>
          </reference>
        </references>
      </pivotArea>
    </format>
    <format dxfId="63">
      <pivotArea outline="0" fieldPosition="0">
        <references count="1">
          <reference field="4294967294" count="1">
            <x v="3"/>
          </reference>
        </references>
      </pivotArea>
    </format>
    <format dxfId="62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3:G113" firstHeaderRow="0" firstDataRow="1" firstDataCol="3"/>
  <pivotFields count="11">
    <pivotField axis="axisRow" compact="0" showAll="0" includeNewItemsInFilter="1">
      <items count="97">
        <item x="0"/>
        <item x="1"/>
        <item x="3"/>
        <item m="1" x="85"/>
        <item x="2"/>
        <item x="4"/>
        <item x="5"/>
        <item m="1" x="81"/>
        <item m="1" x="90"/>
        <item x="6"/>
        <item x="8"/>
        <item m="1" x="88"/>
        <item x="9"/>
        <item m="1" x="73"/>
        <item x="10"/>
        <item m="1" x="95"/>
        <item x="11"/>
        <item x="13"/>
        <item x="14"/>
        <item m="1" x="80"/>
        <item x="16"/>
        <item x="17"/>
        <item m="1" x="78"/>
        <item x="18"/>
        <item x="19"/>
        <item m="1" x="94"/>
        <item x="20"/>
        <item m="1" x="86"/>
        <item x="21"/>
        <item x="22"/>
        <item x="23"/>
        <item x="24"/>
        <item m="1" x="75"/>
        <item x="25"/>
        <item x="26"/>
        <item x="28"/>
        <item x="29"/>
        <item x="31"/>
        <item x="30"/>
        <item m="1" x="67"/>
        <item x="32"/>
        <item x="33"/>
        <item m="1" x="69"/>
        <item x="34"/>
        <item m="1" x="89"/>
        <item x="36"/>
        <item x="37"/>
        <item x="38"/>
        <item x="39"/>
        <item x="40"/>
        <item x="42"/>
        <item x="43"/>
        <item x="44"/>
        <item m="1" x="92"/>
        <item m="1" x="77"/>
        <item m="1" x="71"/>
        <item x="45"/>
        <item m="1" x="91"/>
        <item x="46"/>
        <item x="48"/>
        <item m="1" x="87"/>
        <item m="1" x="72"/>
        <item m="1" x="84"/>
        <item x="52"/>
        <item x="53"/>
        <item m="1" x="82"/>
        <item x="54"/>
        <item x="55"/>
        <item x="56"/>
        <item x="57"/>
        <item x="58"/>
        <item x="60"/>
        <item x="62"/>
        <item m="1" x="76"/>
        <item x="63"/>
        <item x="61"/>
        <item x="65"/>
        <item m="1" x="74"/>
        <item x="66"/>
        <item x="12"/>
        <item x="47"/>
        <item x="7"/>
        <item x="27"/>
        <item x="35"/>
        <item m="1" x="79"/>
        <item x="49"/>
        <item x="51"/>
        <item x="50"/>
        <item m="1" x="93"/>
        <item m="1" x="83"/>
        <item x="64"/>
        <item x="41"/>
        <item x="59"/>
        <item m="1" x="70"/>
        <item m="1" x="68"/>
        <item x="15"/>
        <item t="default"/>
      </items>
    </pivotField>
    <pivotField axis="axisRow" compact="0" showAll="0" insertBlankRow="1" includeNewItemsInFilter="1" sortType="ascending">
      <items count="11">
        <item x="7"/>
        <item x="3"/>
        <item x="2"/>
        <item x="4"/>
        <item x="0"/>
        <item x="1"/>
        <item m="1" x="9"/>
        <item x="5"/>
        <item x="6"/>
        <item m="1" x="8"/>
        <item t="default"/>
      </items>
    </pivotField>
    <pivotField axis="axisRow" compact="0" showAll="0" includeNewItemsInFilter="1">
      <items count="20">
        <item m="1" x="11"/>
        <item x="2"/>
        <item x="4"/>
        <item x="3"/>
        <item m="1" x="18"/>
        <item x="5"/>
        <item x="6"/>
        <item m="1" x="14"/>
        <item m="1" x="13"/>
        <item x="1"/>
        <item x="8"/>
        <item m="1" x="15"/>
        <item x="7"/>
        <item m="1" x="16"/>
        <item m="1" x="17"/>
        <item m="1" x="12"/>
        <item x="9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3">
    <field x="1"/>
    <field x="2"/>
    <field x="0"/>
  </rowFields>
  <rowItems count="110">
    <i>
      <x/>
    </i>
    <i r="1">
      <x v="9"/>
    </i>
    <i r="2">
      <x v="36"/>
    </i>
    <i r="1">
      <x v="18"/>
    </i>
    <i r="2">
      <x v="63"/>
    </i>
    <i r="2">
      <x v="64"/>
    </i>
    <i t="blank">
      <x/>
    </i>
    <i>
      <x v="1"/>
    </i>
    <i r="1">
      <x v="3"/>
    </i>
    <i r="2">
      <x v="20"/>
    </i>
    <i r="2">
      <x v="41"/>
    </i>
    <i r="2">
      <x v="43"/>
    </i>
    <i r="2">
      <x v="50"/>
    </i>
    <i r="2">
      <x v="56"/>
    </i>
    <i r="2">
      <x v="83"/>
    </i>
    <i r="1">
      <x v="5"/>
    </i>
    <i r="2">
      <x v="21"/>
    </i>
    <i r="2">
      <x v="47"/>
    </i>
    <i r="2">
      <x v="76"/>
    </i>
    <i r="2">
      <x v="87"/>
    </i>
    <i r="1">
      <x v="9"/>
    </i>
    <i r="2">
      <x v="5"/>
    </i>
    <i r="2">
      <x v="29"/>
    </i>
    <i r="2">
      <x v="34"/>
    </i>
    <i r="2">
      <x v="37"/>
    </i>
    <i r="1">
      <x v="10"/>
    </i>
    <i r="2">
      <x v="70"/>
    </i>
    <i r="1">
      <x v="12"/>
    </i>
    <i r="2">
      <x v="66"/>
    </i>
    <i r="1">
      <x v="16"/>
    </i>
    <i r="2">
      <x v="71"/>
    </i>
    <i r="1">
      <x v="18"/>
    </i>
    <i r="2">
      <x v="58"/>
    </i>
    <i r="2">
      <x v="85"/>
    </i>
    <i r="2">
      <x v="90"/>
    </i>
    <i t="blank">
      <x v="1"/>
    </i>
    <i>
      <x v="2"/>
    </i>
    <i r="1">
      <x v="1"/>
    </i>
    <i r="2">
      <x v="6"/>
    </i>
    <i r="1">
      <x v="9"/>
    </i>
    <i r="2">
      <x v="2"/>
    </i>
    <i r="2">
      <x v="74"/>
    </i>
    <i r="2">
      <x v="80"/>
    </i>
    <i r="1">
      <x v="18"/>
    </i>
    <i r="2">
      <x v="4"/>
    </i>
    <i r="2">
      <x v="12"/>
    </i>
    <i r="2">
      <x v="31"/>
    </i>
    <i t="blank">
      <x v="2"/>
    </i>
    <i>
      <x v="3"/>
    </i>
    <i r="1">
      <x v="3"/>
    </i>
    <i r="2">
      <x v="9"/>
    </i>
    <i r="2">
      <x v="33"/>
    </i>
    <i r="2">
      <x v="81"/>
    </i>
    <i r="1">
      <x v="9"/>
    </i>
    <i r="2">
      <x v="10"/>
    </i>
    <i r="2">
      <x v="24"/>
    </i>
    <i r="2">
      <x v="40"/>
    </i>
    <i r="2">
      <x v="86"/>
    </i>
    <i r="1">
      <x v="12"/>
    </i>
    <i r="2">
      <x v="82"/>
    </i>
    <i t="blank">
      <x v="3"/>
    </i>
    <i>
      <x v="4"/>
    </i>
    <i r="1">
      <x v="9"/>
    </i>
    <i r="2">
      <x v="26"/>
    </i>
    <i r="2">
      <x v="38"/>
    </i>
    <i r="2">
      <x v="59"/>
    </i>
    <i r="1">
      <x v="18"/>
    </i>
    <i r="2">
      <x/>
    </i>
    <i t="blank">
      <x v="4"/>
    </i>
    <i>
      <x v="5"/>
    </i>
    <i r="1">
      <x v="6"/>
    </i>
    <i r="2">
      <x v="30"/>
    </i>
    <i r="2">
      <x v="68"/>
    </i>
    <i r="2">
      <x v="91"/>
    </i>
    <i r="2">
      <x v="92"/>
    </i>
    <i r="1">
      <x v="9"/>
    </i>
    <i r="2">
      <x v="1"/>
    </i>
    <i r="2">
      <x v="45"/>
    </i>
    <i r="2">
      <x v="75"/>
    </i>
    <i r="1">
      <x v="18"/>
    </i>
    <i r="2">
      <x v="46"/>
    </i>
    <i t="blank">
      <x v="5"/>
    </i>
    <i>
      <x v="7"/>
    </i>
    <i r="1">
      <x v="2"/>
    </i>
    <i r="2">
      <x v="78"/>
    </i>
    <i r="2">
      <x v="79"/>
    </i>
    <i r="1">
      <x v="3"/>
    </i>
    <i r="2">
      <x v="67"/>
    </i>
    <i r="1">
      <x v="9"/>
    </i>
    <i r="2">
      <x v="14"/>
    </i>
    <i r="2">
      <x v="18"/>
    </i>
    <i r="2">
      <x v="23"/>
    </i>
    <i r="2">
      <x v="48"/>
    </i>
    <i r="2">
      <x v="95"/>
    </i>
    <i r="1">
      <x v="18"/>
    </i>
    <i r="2">
      <x v="16"/>
    </i>
    <i r="2">
      <x v="17"/>
    </i>
    <i r="2">
      <x v="35"/>
    </i>
    <i r="2">
      <x v="49"/>
    </i>
    <i r="2">
      <x v="51"/>
    </i>
    <i r="2">
      <x v="69"/>
    </i>
    <i t="blank">
      <x v="7"/>
    </i>
    <i>
      <x v="8"/>
    </i>
    <i r="1">
      <x v="2"/>
    </i>
    <i r="2">
      <x v="28"/>
    </i>
    <i r="1">
      <x v="9"/>
    </i>
    <i r="2">
      <x v="52"/>
    </i>
    <i r="2">
      <x v="72"/>
    </i>
    <i t="blank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0"/>
  </dataFields>
  <formats count="6">
    <format dxfId="61">
      <pivotArea dataOnly="0" labelOnly="1" outline="0" fieldPosition="0">
        <references count="1">
          <reference field="1" count="0"/>
        </references>
      </pivotArea>
    </format>
    <format dxfId="60">
      <pivotArea outline="0" fieldPosition="0">
        <references count="1">
          <reference field="4294967294" count="1" selected="0">
            <x v="0"/>
          </reference>
        </references>
      </pivotArea>
    </format>
    <format dxfId="59">
      <pivotArea outline="0" fieldPosition="0">
        <references count="1">
          <reference field="4294967294" count="1">
            <x v="1"/>
          </reference>
        </references>
      </pivotArea>
    </format>
    <format dxfId="58">
      <pivotArea outline="0" fieldPosition="0">
        <references count="1">
          <reference field="4294967294" count="1" selected="0">
            <x v="1"/>
          </reference>
        </references>
      </pivotArea>
    </format>
    <format dxfId="57">
      <pivotArea outline="0" fieldPosition="0">
        <references count="1">
          <reference field="4294967294" count="1" selected="0">
            <x v="2"/>
          </reference>
        </references>
      </pivotArea>
    </format>
    <format dxfId="56">
      <pivotArea outline="0" fieldPosition="0">
        <references count="1">
          <reference field="4294967294" count="1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4:F10" firstHeaderRow="0" firstDataRow="1" firstDataCol="2" rowPageCount="1" colPageCount="1"/>
  <pivotFields count="11">
    <pivotField axis="axisRow" compact="0" showAll="0" includeNewItemsInFilter="1">
      <items count="97">
        <item x="0"/>
        <item x="1"/>
        <item x="3"/>
        <item m="1" x="85"/>
        <item x="2"/>
        <item x="4"/>
        <item x="5"/>
        <item m="1" x="81"/>
        <item m="1" x="90"/>
        <item x="6"/>
        <item x="8"/>
        <item m="1" x="88"/>
        <item x="9"/>
        <item m="1" x="73"/>
        <item x="10"/>
        <item m="1" x="95"/>
        <item x="11"/>
        <item x="13"/>
        <item x="14"/>
        <item m="1" x="80"/>
        <item x="16"/>
        <item x="17"/>
        <item m="1" x="78"/>
        <item x="18"/>
        <item x="19"/>
        <item m="1" x="94"/>
        <item x="20"/>
        <item m="1" x="86"/>
        <item x="21"/>
        <item x="22"/>
        <item x="23"/>
        <item x="24"/>
        <item m="1" x="75"/>
        <item x="25"/>
        <item x="26"/>
        <item x="28"/>
        <item x="29"/>
        <item x="31"/>
        <item x="30"/>
        <item m="1" x="67"/>
        <item x="32"/>
        <item x="33"/>
        <item m="1" x="69"/>
        <item x="34"/>
        <item m="1" x="89"/>
        <item x="36"/>
        <item x="37"/>
        <item x="38"/>
        <item x="39"/>
        <item x="40"/>
        <item x="42"/>
        <item x="43"/>
        <item x="44"/>
        <item m="1" x="92"/>
        <item m="1" x="77"/>
        <item m="1" x="71"/>
        <item x="45"/>
        <item m="1" x="91"/>
        <item x="46"/>
        <item x="48"/>
        <item m="1" x="87"/>
        <item m="1" x="72"/>
        <item m="1" x="84"/>
        <item x="52"/>
        <item x="53"/>
        <item m="1" x="82"/>
        <item x="54"/>
        <item x="55"/>
        <item x="56"/>
        <item x="57"/>
        <item x="58"/>
        <item x="60"/>
        <item x="62"/>
        <item m="1" x="76"/>
        <item x="63"/>
        <item x="61"/>
        <item x="65"/>
        <item m="1" x="74"/>
        <item x="66"/>
        <item x="12"/>
        <item x="47"/>
        <item x="7"/>
        <item x="27"/>
        <item x="35"/>
        <item m="1" x="79"/>
        <item x="49"/>
        <item x="51"/>
        <item x="50"/>
        <item m="1" x="93"/>
        <item m="1" x="83"/>
        <item x="64"/>
        <item x="41"/>
        <item x="59"/>
        <item m="1" x="70"/>
        <item m="1" x="68"/>
        <item x="15"/>
        <item t="default"/>
      </items>
    </pivotField>
    <pivotField axis="axisPage" compact="0" showAll="0" insertBlankRow="1" includeNewItemsInFilter="1">
      <items count="11">
        <item x="7"/>
        <item h="1" x="3"/>
        <item h="1" x="0"/>
        <item h="1" x="5"/>
        <item h="1" x="1"/>
        <item h="1" x="2"/>
        <item h="1" m="1" x="9"/>
        <item h="1" x="6"/>
        <item h="1" x="4"/>
        <item h="1" m="1" x="8"/>
        <item t="default"/>
      </items>
    </pivotField>
    <pivotField axis="axisRow" compact="0" showAll="0" includeNewItemsInFilter="1">
      <items count="20">
        <item m="1" x="12"/>
        <item x="1"/>
        <item m="1" x="11"/>
        <item x="2"/>
        <item x="4"/>
        <item x="3"/>
        <item m="1" x="18"/>
        <item x="5"/>
        <item x="6"/>
        <item m="1" x="14"/>
        <item m="1" x="13"/>
        <item x="8"/>
        <item m="1" x="15"/>
        <item x="7"/>
        <item m="1" x="16"/>
        <item m="1" x="17"/>
        <item x="9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2">
    <field x="2"/>
    <field x="0"/>
  </rowFields>
  <rowItems count="6">
    <i>
      <x v="1"/>
    </i>
    <i r="1">
      <x v="36"/>
    </i>
    <i>
      <x v="18"/>
    </i>
    <i r="1">
      <x v="63"/>
    </i>
    <i r="1">
      <x v="6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item="0" hier="0"/>
  </pageField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68"/>
  </dataFields>
  <formats count="5">
    <format dxfId="55">
      <pivotArea dataOnly="0" labelOnly="1" outline="0" fieldPosition="0">
        <references count="1">
          <reference field="1" count="0"/>
        </references>
      </pivotArea>
    </format>
    <format dxfId="54">
      <pivotArea outline="0" fieldPosition="0">
        <references count="1">
          <reference field="4294967294" count="1" selected="0">
            <x v="0"/>
          </reference>
        </references>
      </pivotArea>
    </format>
    <format dxfId="53">
      <pivotArea outline="0" fieldPosition="0">
        <references count="1">
          <reference field="4294967294" count="1" selected="0">
            <x v="1"/>
          </reference>
        </references>
      </pivotArea>
    </format>
    <format dxfId="52">
      <pivotArea outline="0" fieldPosition="0">
        <references count="1">
          <reference field="4294967294" count="1" selected="0">
            <x v="2"/>
          </reference>
        </references>
      </pivotArea>
    </format>
    <format dxfId="51">
      <pivotArea outline="0" fieldPosition="0">
        <references count="1">
          <reference field="4294967294" count="1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showMemberPropertyTips="0" useAutoFormatting="1" itemPrintTitles="1" createdVersion="3" indent="0" compact="0" compactData="0" gridDropZones="1">
  <location ref="A4:F11" firstHeaderRow="0" firstDataRow="1" firstDataCol="2" rowPageCount="1" colPageCount="1"/>
  <pivotFields count="11">
    <pivotField axis="axisRow" compact="0" showAll="0" includeNewItemsInFilter="1">
      <items count="97">
        <item x="0"/>
        <item x="1"/>
        <item x="3"/>
        <item m="1" x="85"/>
        <item x="2"/>
        <item x="4"/>
        <item x="5"/>
        <item m="1" x="81"/>
        <item m="1" x="90"/>
        <item x="6"/>
        <item x="8"/>
        <item m="1" x="88"/>
        <item x="9"/>
        <item m="1" x="73"/>
        <item x="10"/>
        <item m="1" x="95"/>
        <item x="11"/>
        <item x="13"/>
        <item x="14"/>
        <item m="1" x="80"/>
        <item x="16"/>
        <item x="17"/>
        <item m="1" x="78"/>
        <item x="18"/>
        <item x="19"/>
        <item m="1" x="94"/>
        <item x="20"/>
        <item m="1" x="86"/>
        <item x="21"/>
        <item x="22"/>
        <item x="23"/>
        <item x="24"/>
        <item m="1" x="75"/>
        <item x="25"/>
        <item x="26"/>
        <item x="28"/>
        <item x="29"/>
        <item x="31"/>
        <item x="30"/>
        <item m="1" x="67"/>
        <item x="32"/>
        <item x="33"/>
        <item m="1" x="69"/>
        <item x="34"/>
        <item m="1" x="89"/>
        <item x="36"/>
        <item x="37"/>
        <item x="38"/>
        <item x="39"/>
        <item x="40"/>
        <item x="42"/>
        <item x="43"/>
        <item x="44"/>
        <item m="1" x="92"/>
        <item m="1" x="77"/>
        <item m="1" x="71"/>
        <item x="45"/>
        <item m="1" x="91"/>
        <item x="46"/>
        <item x="48"/>
        <item m="1" x="87"/>
        <item m="1" x="72"/>
        <item m="1" x="84"/>
        <item x="52"/>
        <item x="53"/>
        <item m="1" x="82"/>
        <item x="54"/>
        <item x="55"/>
        <item x="56"/>
        <item x="57"/>
        <item x="58"/>
        <item x="60"/>
        <item x="62"/>
        <item m="1" x="76"/>
        <item x="63"/>
        <item x="61"/>
        <item x="65"/>
        <item m="1" x="74"/>
        <item x="66"/>
        <item x="12"/>
        <item x="47"/>
        <item x="7"/>
        <item x="27"/>
        <item x="35"/>
        <item m="1" x="79"/>
        <item x="49"/>
        <item x="51"/>
        <item x="50"/>
        <item m="1" x="93"/>
        <item m="1" x="83"/>
        <item x="64"/>
        <item x="41"/>
        <item x="59"/>
        <item m="1" x="70"/>
        <item m="1" x="68"/>
        <item x="15"/>
        <item t="default"/>
      </items>
    </pivotField>
    <pivotField axis="axisPage" compact="0" showAll="0" insertBlankRow="1" includeNewItemsInFilter="1">
      <items count="11">
        <item h="1" x="7"/>
        <item h="1" x="3"/>
        <item x="0"/>
        <item h="1" x="5"/>
        <item h="1" x="1"/>
        <item h="1" x="2"/>
        <item h="1" m="1" x="9"/>
        <item h="1" x="6"/>
        <item h="1" x="4"/>
        <item h="1" m="1" x="8"/>
        <item t="default"/>
      </items>
    </pivotField>
    <pivotField axis="axisRow" compact="0" showAll="0" includeNewItemsInFilter="1">
      <items count="20">
        <item m="1" x="12"/>
        <item x="1"/>
        <item m="1" x="11"/>
        <item x="2"/>
        <item x="4"/>
        <item x="3"/>
        <item m="1" x="18"/>
        <item x="5"/>
        <item x="6"/>
        <item m="1" x="14"/>
        <item m="1" x="13"/>
        <item x="8"/>
        <item m="1" x="15"/>
        <item x="7"/>
        <item m="1" x="16"/>
        <item m="1" x="17"/>
        <item x="9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2">
    <field x="2"/>
    <field x="0"/>
  </rowFields>
  <rowItems count="7">
    <i>
      <x v="1"/>
    </i>
    <i r="1">
      <x v="26"/>
    </i>
    <i r="1">
      <x v="38"/>
    </i>
    <i r="1">
      <x v="59"/>
    </i>
    <i>
      <x v="18"/>
    </i>
    <i r="1"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item="2" hier="0"/>
  </pageFields>
  <dataFields count="4">
    <dataField name="Opplag 2008" fld="10" baseField="0" baseItem="0" numFmtId="165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68"/>
  </dataFields>
  <formats count="5"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fieldPosition="0">
        <references count="1">
          <reference field="4294967294" count="1" selected="0">
            <x v="0"/>
          </reference>
        </references>
      </pivotArea>
    </format>
    <format dxfId="48">
      <pivotArea outline="0" fieldPosition="0">
        <references count="1">
          <reference field="4294967294" count="1" selected="0">
            <x v="1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ell2" cacheId="5" autoFormatId="4096" applyNumberFormats="1" applyBorderFormats="1" applyFontFormats="1" applyPatternFormats="1" applyAlignmentFormats="1" applyWidthHeightFormats="1" dataCaption="Data" updatedVersion="3" minRefreshableVersion="3" asteriskTotals="1" showMemberPropertyTips="0" useAutoFormatting="1" itemPrintTitles="1" createdVersion="3" indent="0" compact="0" compactData="0" gridDropZones="1">
  <location ref="A4:F23" firstHeaderRow="0" firstDataRow="1" firstDataCol="2" rowPageCount="1" colPageCount="1"/>
  <pivotFields count="11">
    <pivotField axis="axisRow" compact="0" showAll="0" includeNewItemsInFilter="1">
      <items count="97">
        <item x="0"/>
        <item x="1"/>
        <item x="3"/>
        <item m="1" x="85"/>
        <item x="2"/>
        <item x="4"/>
        <item x="5"/>
        <item m="1" x="81"/>
        <item m="1" x="90"/>
        <item x="6"/>
        <item x="8"/>
        <item m="1" x="88"/>
        <item x="9"/>
        <item m="1" x="73"/>
        <item x="10"/>
        <item m="1" x="95"/>
        <item x="11"/>
        <item x="13"/>
        <item x="14"/>
        <item m="1" x="80"/>
        <item x="16"/>
        <item x="17"/>
        <item m="1" x="78"/>
        <item x="18"/>
        <item x="19"/>
        <item m="1" x="94"/>
        <item x="20"/>
        <item m="1" x="86"/>
        <item x="21"/>
        <item x="22"/>
        <item x="23"/>
        <item x="24"/>
        <item m="1" x="75"/>
        <item x="25"/>
        <item x="26"/>
        <item x="28"/>
        <item x="29"/>
        <item x="31"/>
        <item x="30"/>
        <item m="1" x="67"/>
        <item x="32"/>
        <item x="33"/>
        <item m="1" x="69"/>
        <item x="34"/>
        <item m="1" x="89"/>
        <item x="36"/>
        <item x="37"/>
        <item x="38"/>
        <item x="39"/>
        <item x="40"/>
        <item x="42"/>
        <item x="43"/>
        <item x="44"/>
        <item m="1" x="92"/>
        <item m="1" x="77"/>
        <item m="1" x="71"/>
        <item x="45"/>
        <item m="1" x="91"/>
        <item x="46"/>
        <item x="48"/>
        <item m="1" x="87"/>
        <item m="1" x="72"/>
        <item m="1" x="84"/>
        <item x="52"/>
        <item x="53"/>
        <item m="1" x="82"/>
        <item x="54"/>
        <item x="55"/>
        <item x="56"/>
        <item x="57"/>
        <item x="58"/>
        <item x="60"/>
        <item x="62"/>
        <item m="1" x="76"/>
        <item x="63"/>
        <item x="61"/>
        <item x="65"/>
        <item m="1" x="74"/>
        <item x="66"/>
        <item x="12"/>
        <item x="47"/>
        <item x="7"/>
        <item x="27"/>
        <item x="35"/>
        <item m="1" x="79"/>
        <item x="49"/>
        <item x="51"/>
        <item x="50"/>
        <item m="1" x="93"/>
        <item m="1" x="83"/>
        <item x="64"/>
        <item x="41"/>
        <item x="59"/>
        <item m="1" x="70"/>
        <item m="1" x="68"/>
        <item x="15"/>
        <item t="default"/>
      </items>
    </pivotField>
    <pivotField axis="axisPage" compact="0" showAll="0" insertBlankRow="1" includeNewItemsInFilter="1">
      <items count="11">
        <item h="1" x="7"/>
        <item h="1" x="3"/>
        <item h="1" x="0"/>
        <item x="5"/>
        <item h="1" x="1"/>
        <item h="1" x="2"/>
        <item h="1" m="1" x="9"/>
        <item h="1" x="6"/>
        <item h="1" x="4"/>
        <item h="1" m="1" x="8"/>
        <item t="default"/>
      </items>
    </pivotField>
    <pivotField axis="axisRow" compact="0" showAll="0" includeNewItemsInFilter="1">
      <items count="20">
        <item m="1" x="12"/>
        <item x="4"/>
        <item x="3"/>
        <item x="1"/>
        <item m="1" x="16"/>
        <item m="1" x="11"/>
        <item x="2"/>
        <item m="1" x="18"/>
        <item x="5"/>
        <item x="6"/>
        <item m="1" x="14"/>
        <item m="1" x="13"/>
        <item x="8"/>
        <item m="1" x="15"/>
        <item x="7"/>
        <item m="1" x="17"/>
        <item x="9"/>
        <item m="1" x="10"/>
        <item x="0"/>
        <item t="default"/>
      </items>
    </pivotField>
    <pivotField compact="0" numFmtId="165" showAll="0" includeNewItemsInFilter="1" defaultSubtotal="0"/>
    <pivotField compact="0" numFmtId="165" showAll="0" includeNewItemsInFilter="1"/>
    <pivotField compact="0" numFmtId="165" showAll="0" includeNewItemsInFilter="1"/>
    <pivotField compact="0" showAll="0" includeNewItemsInFilter="1"/>
    <pivotField compact="0" numFmtId="3" showAll="0" includeNewItemsInFilter="1"/>
    <pivotField compact="0" showAll="0" includeNewItemsInFilter="1"/>
    <pivotField dataField="1" compact="0" numFmtId="165" showAll="0" includeNewItemsInFilter="1" defaultSubtotal="0"/>
    <pivotField dataField="1" compact="0" numFmtId="165" showAll="0" includeNewItemsInFilter="1"/>
  </pivotFields>
  <rowFields count="2">
    <field x="2"/>
    <field x="0"/>
  </rowFields>
  <rowItems count="19">
    <i>
      <x v="1"/>
    </i>
    <i r="1">
      <x v="78"/>
    </i>
    <i r="1">
      <x v="79"/>
    </i>
    <i>
      <x v="2"/>
    </i>
    <i r="1">
      <x v="67"/>
    </i>
    <i>
      <x v="3"/>
    </i>
    <i r="1">
      <x v="14"/>
    </i>
    <i r="1">
      <x v="18"/>
    </i>
    <i r="1">
      <x v="23"/>
    </i>
    <i r="1">
      <x v="48"/>
    </i>
    <i r="1">
      <x v="95"/>
    </i>
    <i>
      <x v="18"/>
    </i>
    <i r="1">
      <x v="16"/>
    </i>
    <i r="1">
      <x v="17"/>
    </i>
    <i r="1">
      <x v="35"/>
    </i>
    <i r="1">
      <x v="49"/>
    </i>
    <i r="1">
      <x v="51"/>
    </i>
    <i r="1">
      <x v="6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item="3" hier="0"/>
  </pageFields>
  <dataFields count="4">
    <dataField name="Opplag 2008" fld="10" baseField="0" baseItem="0"/>
    <dataField name="Andel 2008" fld="10" showDataAs="percentOfCol" baseField="0" baseItem="0" numFmtId="168"/>
    <dataField name="Opplag 2009" fld="9" baseField="0" baseItem="0" numFmtId="165"/>
    <dataField name="Andel 2009" fld="9" showDataAs="percentOfCol" baseField="0" baseItem="0" numFmtId="168"/>
  </dataFields>
  <formats count="6"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outline="0" fieldPosition="0">
        <references count="2">
          <reference field="4294967294" count="1">
            <x v="0"/>
          </reference>
          <reference field="1" count="1" selected="0">
            <x v="3"/>
          </reference>
        </references>
      </pivotArea>
    </format>
    <format dxfId="43">
      <pivotArea outline="0" fieldPosition="0">
        <references count="1">
          <reference field="4294967294" count="1">
            <x v="1"/>
          </reference>
        </references>
      </pivotArea>
    </format>
    <format dxfId="42">
      <pivotArea outline="0" fieldPosition="0">
        <references count="1">
          <reference field="4294967294" count="1" selected="0">
            <x v="1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zoomScaleNormal="100" workbookViewId="0">
      <pane xSplit="1" ySplit="3" topLeftCell="B10" activePane="bottomRight" state="frozen"/>
      <selection activeCell="L30" sqref="L30"/>
      <selection pane="topRight" activeCell="L30" sqref="L30"/>
      <selection pane="bottomLeft" activeCell="L30" sqref="L30"/>
      <selection pane="bottomRight"/>
    </sheetView>
  </sheetViews>
  <sheetFormatPr baseColWidth="10" defaultRowHeight="12.75"/>
  <cols>
    <col min="1" max="1" width="32.85546875" style="5" customWidth="1"/>
    <col min="2" max="2" width="13" style="5" customWidth="1"/>
    <col min="3" max="4" width="11.42578125" style="2"/>
    <col min="5" max="5" width="10.85546875" style="2" customWidth="1"/>
    <col min="6" max="6" width="11.42578125" style="2"/>
    <col min="7" max="7" width="10" style="2" customWidth="1"/>
    <col min="8" max="8" width="12.85546875" style="3" customWidth="1"/>
    <col min="9" max="9" width="9.85546875" style="4" customWidth="1"/>
    <col min="10" max="10" width="13.140625" style="2" hidden="1" customWidth="1"/>
    <col min="11" max="11" width="13.85546875" style="2" hidden="1" customWidth="1"/>
    <col min="12" max="12" width="0" style="6" hidden="1" customWidth="1"/>
    <col min="13" max="13" width="9.28515625" style="6" hidden="1" customWidth="1"/>
    <col min="14" max="16384" width="11.42578125" style="6"/>
  </cols>
  <sheetData>
    <row r="1" spans="1:13" ht="18">
      <c r="A1" s="1" t="s">
        <v>145</v>
      </c>
    </row>
    <row r="2" spans="1:13">
      <c r="A2" s="7"/>
    </row>
    <row r="3" spans="1:13" s="14" customFormat="1">
      <c r="A3" s="8" t="s">
        <v>0</v>
      </c>
      <c r="B3" s="9" t="s">
        <v>4</v>
      </c>
      <c r="C3" s="9" t="s">
        <v>1</v>
      </c>
      <c r="D3" s="52">
        <v>2009</v>
      </c>
      <c r="E3" s="10" t="s">
        <v>2</v>
      </c>
      <c r="F3" s="52">
        <v>2008</v>
      </c>
      <c r="G3" s="10" t="s">
        <v>2</v>
      </c>
      <c r="H3" s="11" t="s">
        <v>103</v>
      </c>
      <c r="I3" s="44" t="s">
        <v>3</v>
      </c>
      <c r="J3" s="42" t="s">
        <v>131</v>
      </c>
      <c r="K3" s="12" t="s">
        <v>115</v>
      </c>
      <c r="L3" s="13" t="s">
        <v>103</v>
      </c>
      <c r="M3" s="43" t="s">
        <v>3</v>
      </c>
    </row>
    <row r="4" spans="1:13">
      <c r="A4" s="5" t="s">
        <v>5</v>
      </c>
      <c r="B4" s="5" t="s">
        <v>6</v>
      </c>
      <c r="C4" s="2" t="s">
        <v>144</v>
      </c>
      <c r="D4" s="2">
        <v>71602</v>
      </c>
      <c r="E4" s="2">
        <v>53</v>
      </c>
      <c r="F4" s="2">
        <v>77376</v>
      </c>
      <c r="G4" s="2">
        <v>52</v>
      </c>
      <c r="H4" s="3">
        <f t="shared" ref="H4:H35" si="0">D4-F4</f>
        <v>-5774</v>
      </c>
      <c r="I4" s="4">
        <f t="shared" ref="I4:I62" si="1">IF(F4=0,0,H4*100/F4)</f>
        <v>-7.4622622001654264</v>
      </c>
      <c r="J4" s="55">
        <f t="shared" ref="J4:J35" si="2">D4*E4</f>
        <v>3794906</v>
      </c>
      <c r="K4" s="2">
        <f t="shared" ref="K4:K35" si="3">F4*G4</f>
        <v>4023552</v>
      </c>
      <c r="L4" s="3">
        <f t="shared" ref="L4:L42" si="4">J4-K4</f>
        <v>-228646</v>
      </c>
      <c r="M4" s="4">
        <f>IF(J4=0,0,L4*100/K4)</f>
        <v>-5.6826903193993763</v>
      </c>
    </row>
    <row r="5" spans="1:13">
      <c r="A5" s="5" t="s">
        <v>42</v>
      </c>
      <c r="B5" s="5" t="s">
        <v>113</v>
      </c>
      <c r="C5" s="2" t="s">
        <v>43</v>
      </c>
      <c r="D5" s="2">
        <v>17574</v>
      </c>
      <c r="E5" s="2">
        <v>10</v>
      </c>
      <c r="F5" s="2">
        <v>19298</v>
      </c>
      <c r="G5" s="2">
        <v>8</v>
      </c>
      <c r="H5" s="3">
        <f t="shared" si="0"/>
        <v>-1724</v>
      </c>
      <c r="I5" s="4">
        <f t="shared" si="1"/>
        <v>-8.9335682454140333</v>
      </c>
      <c r="J5" s="55">
        <f t="shared" si="2"/>
        <v>175740</v>
      </c>
      <c r="K5" s="2">
        <f t="shared" si="3"/>
        <v>154384</v>
      </c>
      <c r="L5" s="3">
        <f t="shared" si="4"/>
        <v>21356</v>
      </c>
      <c r="M5" s="4">
        <f t="shared" ref="M5:M61" si="5">IF(J5=0,0,L5*100/K5)</f>
        <v>13.833039693232459</v>
      </c>
    </row>
    <row r="6" spans="1:13">
      <c r="A6" s="5" t="s">
        <v>67</v>
      </c>
      <c r="B6" s="5" t="s">
        <v>112</v>
      </c>
      <c r="C6" s="2" t="s">
        <v>144</v>
      </c>
      <c r="D6" s="2">
        <v>25314</v>
      </c>
      <c r="E6" s="2">
        <v>11</v>
      </c>
      <c r="F6" s="2">
        <v>30569</v>
      </c>
      <c r="G6" s="2">
        <v>11</v>
      </c>
      <c r="H6" s="3">
        <f>D6-F6</f>
        <v>-5255</v>
      </c>
      <c r="I6" s="4">
        <f t="shared" si="1"/>
        <v>-17.190617946285453</v>
      </c>
      <c r="J6" s="55">
        <f>D6*E6</f>
        <v>278454</v>
      </c>
      <c r="K6" s="2">
        <f>F6*G6</f>
        <v>336259</v>
      </c>
      <c r="L6" s="3">
        <f>J6-K6</f>
        <v>-57805</v>
      </c>
      <c r="M6" s="4">
        <f t="shared" si="5"/>
        <v>-17.190617946285453</v>
      </c>
    </row>
    <row r="7" spans="1:13">
      <c r="A7" s="5" t="s">
        <v>44</v>
      </c>
      <c r="B7" s="5" t="s">
        <v>112</v>
      </c>
      <c r="C7" s="2" t="s">
        <v>43</v>
      </c>
      <c r="D7" s="2">
        <v>17707</v>
      </c>
      <c r="E7" s="2">
        <v>11</v>
      </c>
      <c r="F7" s="2">
        <v>20086</v>
      </c>
      <c r="G7" s="2">
        <v>11</v>
      </c>
      <c r="H7" s="3">
        <f t="shared" si="0"/>
        <v>-2379</v>
      </c>
      <c r="I7" s="4">
        <f t="shared" si="1"/>
        <v>-11.844070496863488</v>
      </c>
      <c r="J7" s="55">
        <f t="shared" si="2"/>
        <v>194777</v>
      </c>
      <c r="K7" s="2">
        <f t="shared" si="3"/>
        <v>220946</v>
      </c>
      <c r="L7" s="3">
        <f t="shared" si="4"/>
        <v>-26169</v>
      </c>
      <c r="M7" s="4">
        <f t="shared" si="5"/>
        <v>-11.844070496863488</v>
      </c>
    </row>
    <row r="8" spans="1:13">
      <c r="A8" s="5" t="s">
        <v>45</v>
      </c>
      <c r="B8" s="5" t="s">
        <v>7</v>
      </c>
      <c r="C8" s="2" t="s">
        <v>43</v>
      </c>
      <c r="D8" s="2">
        <v>28098</v>
      </c>
      <c r="E8" s="2">
        <v>9</v>
      </c>
      <c r="F8" s="2">
        <v>29207</v>
      </c>
      <c r="G8" s="2">
        <v>9</v>
      </c>
      <c r="H8" s="3">
        <f t="shared" si="0"/>
        <v>-1109</v>
      </c>
      <c r="I8" s="4">
        <f t="shared" si="1"/>
        <v>-3.7970349573732323</v>
      </c>
      <c r="J8" s="55">
        <f t="shared" si="2"/>
        <v>252882</v>
      </c>
      <c r="K8" s="2">
        <f t="shared" si="3"/>
        <v>262863</v>
      </c>
      <c r="L8" s="3">
        <f t="shared" si="4"/>
        <v>-9981</v>
      </c>
      <c r="M8" s="4">
        <f t="shared" si="5"/>
        <v>-3.7970349573732323</v>
      </c>
    </row>
    <row r="9" spans="1:13">
      <c r="A9" s="5" t="s">
        <v>15</v>
      </c>
      <c r="B9" s="5" t="s">
        <v>112</v>
      </c>
      <c r="C9" s="2" t="s">
        <v>16</v>
      </c>
      <c r="D9" s="2">
        <v>45423</v>
      </c>
      <c r="E9" s="2">
        <v>10</v>
      </c>
      <c r="F9" s="2">
        <v>46025</v>
      </c>
      <c r="G9" s="2">
        <v>10</v>
      </c>
      <c r="H9" s="3">
        <f t="shared" si="0"/>
        <v>-602</v>
      </c>
      <c r="I9" s="4">
        <f t="shared" si="1"/>
        <v>-1.3079847908745248</v>
      </c>
      <c r="J9" s="55">
        <f t="shared" si="2"/>
        <v>454230</v>
      </c>
      <c r="K9" s="2">
        <f t="shared" si="3"/>
        <v>460250</v>
      </c>
      <c r="L9" s="3">
        <f t="shared" si="4"/>
        <v>-6020</v>
      </c>
      <c r="M9" s="4">
        <f t="shared" si="5"/>
        <v>-1.3079847908745248</v>
      </c>
    </row>
    <row r="10" spans="1:13">
      <c r="A10" s="5" t="s">
        <v>20</v>
      </c>
      <c r="B10" s="5" t="s">
        <v>114</v>
      </c>
      <c r="C10" s="2" t="s">
        <v>21</v>
      </c>
      <c r="D10" s="2">
        <v>33795</v>
      </c>
      <c r="E10" s="2">
        <v>12</v>
      </c>
      <c r="F10" s="2">
        <v>34426</v>
      </c>
      <c r="G10" s="2">
        <v>12</v>
      </c>
      <c r="H10" s="3">
        <f t="shared" si="0"/>
        <v>-631</v>
      </c>
      <c r="I10" s="4">
        <f t="shared" si="1"/>
        <v>-1.8329169813513042</v>
      </c>
      <c r="J10" s="55">
        <f t="shared" si="2"/>
        <v>405540</v>
      </c>
      <c r="K10" s="2">
        <f t="shared" si="3"/>
        <v>413112</v>
      </c>
      <c r="L10" s="3">
        <f t="shared" si="4"/>
        <v>-7572</v>
      </c>
      <c r="M10" s="4">
        <f t="shared" si="5"/>
        <v>-1.8329169813513042</v>
      </c>
    </row>
    <row r="11" spans="1:13">
      <c r="A11" s="5" t="s">
        <v>104</v>
      </c>
      <c r="B11" s="5" t="s">
        <v>114</v>
      </c>
      <c r="C11" s="2" t="s">
        <v>21</v>
      </c>
      <c r="D11" s="2">
        <v>38055</v>
      </c>
      <c r="E11" s="2">
        <v>12</v>
      </c>
      <c r="F11" s="2">
        <v>32940</v>
      </c>
      <c r="G11" s="2">
        <v>12</v>
      </c>
      <c r="H11" s="3">
        <f>D11-F11</f>
        <v>5115</v>
      </c>
      <c r="I11" s="4">
        <f t="shared" si="1"/>
        <v>15.52823315118397</v>
      </c>
      <c r="J11" s="55">
        <f>D11*E11</f>
        <v>456660</v>
      </c>
      <c r="K11" s="2">
        <f>F11*G11</f>
        <v>395280</v>
      </c>
      <c r="L11" s="3">
        <f>J11-K11</f>
        <v>61380</v>
      </c>
      <c r="M11" s="4">
        <f t="shared" si="5"/>
        <v>15.52823315118397</v>
      </c>
    </row>
    <row r="12" spans="1:13">
      <c r="A12" s="5" t="s">
        <v>46</v>
      </c>
      <c r="B12" s="5" t="s">
        <v>114</v>
      </c>
      <c r="C12" s="2" t="s">
        <v>43</v>
      </c>
      <c r="D12" s="2">
        <v>44678</v>
      </c>
      <c r="E12" s="2">
        <v>14</v>
      </c>
      <c r="F12" s="2">
        <v>53884</v>
      </c>
      <c r="G12" s="2">
        <v>14</v>
      </c>
      <c r="H12" s="3">
        <f t="shared" si="0"/>
        <v>-9206</v>
      </c>
      <c r="I12" s="4">
        <f t="shared" si="1"/>
        <v>-17.08484893474872</v>
      </c>
      <c r="J12" s="55">
        <f t="shared" si="2"/>
        <v>625492</v>
      </c>
      <c r="K12" s="2">
        <f t="shared" si="3"/>
        <v>754376</v>
      </c>
      <c r="L12" s="3">
        <f t="shared" si="4"/>
        <v>-128884</v>
      </c>
      <c r="M12" s="4">
        <f t="shared" si="5"/>
        <v>-17.08484893474872</v>
      </c>
    </row>
    <row r="13" spans="1:13">
      <c r="A13" s="5" t="s">
        <v>8</v>
      </c>
      <c r="B13" s="5" t="s">
        <v>112</v>
      </c>
      <c r="C13" s="2" t="s">
        <v>144</v>
      </c>
      <c r="D13" s="2">
        <v>20275</v>
      </c>
      <c r="E13" s="2">
        <v>11</v>
      </c>
      <c r="F13" s="2">
        <v>20904</v>
      </c>
      <c r="G13" s="2">
        <v>13</v>
      </c>
      <c r="H13" s="3">
        <f>D13-F13</f>
        <v>-629</v>
      </c>
      <c r="I13" s="4">
        <f>IF(F13=0,0,H13*100/F13)</f>
        <v>-3.0089934940681209</v>
      </c>
      <c r="J13" s="55">
        <f>D13*E13</f>
        <v>223025</v>
      </c>
      <c r="K13" s="2">
        <f>F13*G13</f>
        <v>271752</v>
      </c>
      <c r="L13" s="3">
        <f>J13-K13</f>
        <v>-48727</v>
      </c>
      <c r="M13" s="4">
        <f>IF(J13=0,0,L13*100/K13)</f>
        <v>-17.930686802673026</v>
      </c>
    </row>
    <row r="14" spans="1:13">
      <c r="A14" s="5" t="s">
        <v>47</v>
      </c>
      <c r="B14" s="5" t="s">
        <v>10</v>
      </c>
      <c r="C14" s="2" t="s">
        <v>43</v>
      </c>
      <c r="D14" s="2">
        <v>25095</v>
      </c>
      <c r="E14" s="2">
        <v>10</v>
      </c>
      <c r="F14" s="2">
        <v>29808</v>
      </c>
      <c r="G14" s="2">
        <v>10</v>
      </c>
      <c r="H14" s="3">
        <f t="shared" si="0"/>
        <v>-4713</v>
      </c>
      <c r="I14" s="4">
        <f t="shared" si="1"/>
        <v>-15.811191626409018</v>
      </c>
      <c r="J14" s="55">
        <f t="shared" si="2"/>
        <v>250950</v>
      </c>
      <c r="K14" s="2">
        <f t="shared" si="3"/>
        <v>298080</v>
      </c>
      <c r="L14" s="3">
        <f t="shared" si="4"/>
        <v>-47130</v>
      </c>
      <c r="M14" s="4">
        <f t="shared" si="5"/>
        <v>-15.811191626409018</v>
      </c>
    </row>
    <row r="15" spans="1:13">
      <c r="A15" s="5" t="s">
        <v>9</v>
      </c>
      <c r="B15" s="5" t="s">
        <v>10</v>
      </c>
      <c r="C15" s="2" t="s">
        <v>144</v>
      </c>
      <c r="D15" s="2">
        <v>28529</v>
      </c>
      <c r="E15" s="2">
        <v>12</v>
      </c>
      <c r="F15" s="2">
        <v>25401</v>
      </c>
      <c r="G15" s="2">
        <v>13</v>
      </c>
      <c r="H15" s="3">
        <f t="shared" si="0"/>
        <v>3128</v>
      </c>
      <c r="I15" s="4">
        <f t="shared" si="1"/>
        <v>12.314475808039054</v>
      </c>
      <c r="J15" s="55">
        <f t="shared" si="2"/>
        <v>342348</v>
      </c>
      <c r="K15" s="2">
        <f t="shared" si="3"/>
        <v>330213</v>
      </c>
      <c r="L15" s="3">
        <f t="shared" si="4"/>
        <v>12135</v>
      </c>
      <c r="M15" s="4">
        <f t="shared" si="5"/>
        <v>3.6749007458822032</v>
      </c>
    </row>
    <row r="16" spans="1:13">
      <c r="A16" s="5" t="s">
        <v>94</v>
      </c>
      <c r="B16" s="5" t="s">
        <v>10</v>
      </c>
      <c r="C16" s="2" t="s">
        <v>18</v>
      </c>
      <c r="D16" s="2">
        <v>37058</v>
      </c>
      <c r="E16" s="2">
        <v>12</v>
      </c>
      <c r="F16" s="2">
        <v>31568</v>
      </c>
      <c r="G16" s="2">
        <v>12</v>
      </c>
      <c r="H16" s="3">
        <f t="shared" si="0"/>
        <v>5490</v>
      </c>
      <c r="I16" s="4">
        <f t="shared" si="1"/>
        <v>17.391028890015207</v>
      </c>
      <c r="J16" s="55">
        <f t="shared" si="2"/>
        <v>444696</v>
      </c>
      <c r="K16" s="2">
        <f t="shared" si="3"/>
        <v>378816</v>
      </c>
      <c r="L16" s="3">
        <f t="shared" si="4"/>
        <v>65880</v>
      </c>
      <c r="M16" s="4">
        <f t="shared" si="5"/>
        <v>17.391028890015207</v>
      </c>
    </row>
    <row r="17" spans="1:13">
      <c r="A17" s="5" t="s">
        <v>68</v>
      </c>
      <c r="B17" s="5" t="s">
        <v>10</v>
      </c>
      <c r="C17" s="2" t="s">
        <v>144</v>
      </c>
      <c r="D17" s="2">
        <v>20380</v>
      </c>
      <c r="E17" s="2">
        <v>11</v>
      </c>
      <c r="F17" s="2">
        <v>30298</v>
      </c>
      <c r="G17" s="2">
        <v>11</v>
      </c>
      <c r="H17" s="3">
        <f t="shared" si="0"/>
        <v>-9918</v>
      </c>
      <c r="I17" s="4">
        <f t="shared" si="1"/>
        <v>-32.734833982441089</v>
      </c>
      <c r="J17" s="55">
        <f t="shared" si="2"/>
        <v>224180</v>
      </c>
      <c r="K17" s="2">
        <f t="shared" si="3"/>
        <v>333278</v>
      </c>
      <c r="L17" s="3">
        <f t="shared" si="4"/>
        <v>-109098</v>
      </c>
      <c r="M17" s="4">
        <f t="shared" si="5"/>
        <v>-32.734833982441089</v>
      </c>
    </row>
    <row r="18" spans="1:13">
      <c r="A18" s="5" t="s">
        <v>49</v>
      </c>
      <c r="B18" s="5" t="s">
        <v>10</v>
      </c>
      <c r="C18" s="2" t="s">
        <v>43</v>
      </c>
      <c r="D18" s="2">
        <v>42521</v>
      </c>
      <c r="E18" s="2">
        <v>18</v>
      </c>
      <c r="F18" s="2">
        <v>46035</v>
      </c>
      <c r="G18" s="2">
        <v>16</v>
      </c>
      <c r="H18" s="3">
        <f t="shared" si="0"/>
        <v>-3514</v>
      </c>
      <c r="I18" s="4">
        <f t="shared" si="1"/>
        <v>-7.6333224720321491</v>
      </c>
      <c r="J18" s="55">
        <f t="shared" si="2"/>
        <v>765378</v>
      </c>
      <c r="K18" s="2">
        <f t="shared" si="3"/>
        <v>736560</v>
      </c>
      <c r="L18" s="3">
        <f t="shared" si="4"/>
        <v>28818</v>
      </c>
      <c r="M18" s="4">
        <f t="shared" si="5"/>
        <v>3.9125122189638319</v>
      </c>
    </row>
    <row r="19" spans="1:13">
      <c r="A19" s="5" t="s">
        <v>142</v>
      </c>
      <c r="B19" s="5" t="s">
        <v>10</v>
      </c>
      <c r="C19" s="2" t="s">
        <v>43</v>
      </c>
      <c r="D19" s="2">
        <v>22550</v>
      </c>
      <c r="E19" s="2">
        <v>10</v>
      </c>
      <c r="F19" s="2">
        <v>19084</v>
      </c>
      <c r="G19" s="2">
        <v>10</v>
      </c>
      <c r="H19" s="3">
        <f>D19-F19</f>
        <v>3466</v>
      </c>
      <c r="I19" s="4">
        <f>IF(F19=0,0,H19*100/F19)</f>
        <v>18.161810941102495</v>
      </c>
      <c r="J19" s="55">
        <f>D19*E19</f>
        <v>225500</v>
      </c>
      <c r="K19" s="2">
        <f>F19*G19</f>
        <v>190840</v>
      </c>
      <c r="L19" s="3">
        <f>J19-K19</f>
        <v>34660</v>
      </c>
      <c r="M19" s="4">
        <f>IF(J19=0,0,L19*100/K19)</f>
        <v>18.161810941102495</v>
      </c>
    </row>
    <row r="20" spans="1:13">
      <c r="A20" s="5" t="s">
        <v>22</v>
      </c>
      <c r="B20" s="5" t="s">
        <v>7</v>
      </c>
      <c r="C20" s="2" t="s">
        <v>21</v>
      </c>
      <c r="D20" s="2">
        <v>12044</v>
      </c>
      <c r="E20" s="2">
        <v>18</v>
      </c>
      <c r="F20" s="2">
        <v>12245</v>
      </c>
      <c r="G20" s="2">
        <v>18</v>
      </c>
      <c r="H20" s="3">
        <f t="shared" si="0"/>
        <v>-201</v>
      </c>
      <c r="I20" s="4">
        <f t="shared" si="1"/>
        <v>-1.6414863209473254</v>
      </c>
      <c r="J20" s="55">
        <f t="shared" si="2"/>
        <v>216792</v>
      </c>
      <c r="K20" s="2">
        <f t="shared" si="3"/>
        <v>220410</v>
      </c>
      <c r="L20" s="3">
        <f t="shared" si="4"/>
        <v>-3618</v>
      </c>
      <c r="M20" s="4">
        <f t="shared" si="5"/>
        <v>-1.6414863209473254</v>
      </c>
    </row>
    <row r="21" spans="1:13">
      <c r="A21" s="5" t="s">
        <v>32</v>
      </c>
      <c r="B21" s="5" t="s">
        <v>7</v>
      </c>
      <c r="C21" s="2" t="s">
        <v>31</v>
      </c>
      <c r="D21" s="2">
        <v>87449</v>
      </c>
      <c r="E21" s="2">
        <v>53</v>
      </c>
      <c r="F21" s="2">
        <v>99216</v>
      </c>
      <c r="G21" s="2">
        <v>52</v>
      </c>
      <c r="H21" s="3">
        <f t="shared" si="0"/>
        <v>-11767</v>
      </c>
      <c r="I21" s="4">
        <f t="shared" si="1"/>
        <v>-11.859982260925657</v>
      </c>
      <c r="J21" s="55">
        <f t="shared" si="2"/>
        <v>4634797</v>
      </c>
      <c r="K21" s="2">
        <f t="shared" si="3"/>
        <v>5159232</v>
      </c>
      <c r="L21" s="3">
        <f t="shared" si="4"/>
        <v>-524435</v>
      </c>
      <c r="M21" s="4">
        <f t="shared" si="5"/>
        <v>-10.164981919789613</v>
      </c>
    </row>
    <row r="22" spans="1:13">
      <c r="A22" s="5" t="s">
        <v>40</v>
      </c>
      <c r="B22" s="5" t="s">
        <v>10</v>
      </c>
      <c r="C22" s="2" t="s">
        <v>43</v>
      </c>
      <c r="D22" s="2">
        <v>34514</v>
      </c>
      <c r="E22" s="2">
        <v>12</v>
      </c>
      <c r="F22" s="2">
        <v>31734</v>
      </c>
      <c r="G22" s="2">
        <v>12</v>
      </c>
      <c r="H22" s="3">
        <f t="shared" si="0"/>
        <v>2780</v>
      </c>
      <c r="I22" s="4">
        <f t="shared" si="1"/>
        <v>8.7603201613411485</v>
      </c>
      <c r="J22" s="55">
        <f t="shared" si="2"/>
        <v>414168</v>
      </c>
      <c r="K22" s="2">
        <f t="shared" si="3"/>
        <v>380808</v>
      </c>
      <c r="L22" s="3">
        <f t="shared" si="4"/>
        <v>33360</v>
      </c>
      <c r="M22" s="4">
        <f t="shared" si="5"/>
        <v>8.7603201613411485</v>
      </c>
    </row>
    <row r="23" spans="1:13">
      <c r="A23" s="5" t="s">
        <v>41</v>
      </c>
      <c r="B23" s="5" t="s">
        <v>114</v>
      </c>
      <c r="C23" s="2" t="s">
        <v>43</v>
      </c>
      <c r="D23" s="2">
        <v>22109</v>
      </c>
      <c r="E23" s="2">
        <v>8</v>
      </c>
      <c r="F23" s="2">
        <v>21205</v>
      </c>
      <c r="G23" s="2">
        <v>8</v>
      </c>
      <c r="H23" s="3">
        <f>D23-F23</f>
        <v>904</v>
      </c>
      <c r="I23" s="4">
        <f>IF(F23=0,0,H23*100/F23)</f>
        <v>4.2631454845555297</v>
      </c>
      <c r="J23" s="55">
        <f>D23*E23</f>
        <v>176872</v>
      </c>
      <c r="K23" s="2">
        <f>F23*G23</f>
        <v>169640</v>
      </c>
      <c r="L23" s="3">
        <f>J23-K23</f>
        <v>7232</v>
      </c>
      <c r="M23" s="4">
        <f>IF(J23=0,0,L23*100/K23)</f>
        <v>4.2631454845555297</v>
      </c>
    </row>
    <row r="24" spans="1:13">
      <c r="A24" s="5" t="s">
        <v>50</v>
      </c>
      <c r="B24" s="5" t="s">
        <v>6</v>
      </c>
      <c r="C24" s="2" t="s">
        <v>43</v>
      </c>
      <c r="D24" s="2">
        <v>111448</v>
      </c>
      <c r="E24" s="2">
        <v>26</v>
      </c>
      <c r="F24" s="2">
        <v>118809</v>
      </c>
      <c r="G24" s="2">
        <v>26</v>
      </c>
      <c r="H24" s="3">
        <f t="shared" si="0"/>
        <v>-7361</v>
      </c>
      <c r="I24" s="4">
        <f t="shared" si="1"/>
        <v>-6.1956585780538509</v>
      </c>
      <c r="J24" s="55">
        <f t="shared" si="2"/>
        <v>2897648</v>
      </c>
      <c r="K24" s="2">
        <f t="shared" si="3"/>
        <v>3089034</v>
      </c>
      <c r="L24" s="3">
        <f t="shared" si="4"/>
        <v>-191386</v>
      </c>
      <c r="M24" s="4">
        <f t="shared" si="5"/>
        <v>-6.1956585780538509</v>
      </c>
    </row>
    <row r="25" spans="1:13">
      <c r="A25" s="5" t="s">
        <v>17</v>
      </c>
      <c r="B25" s="5" t="s">
        <v>59</v>
      </c>
      <c r="C25" s="2" t="s">
        <v>18</v>
      </c>
      <c r="D25" s="2">
        <v>47721</v>
      </c>
      <c r="E25" s="2">
        <v>12</v>
      </c>
      <c r="F25" s="2">
        <v>50648</v>
      </c>
      <c r="G25" s="2">
        <v>12</v>
      </c>
      <c r="H25" s="3">
        <f t="shared" si="0"/>
        <v>-2927</v>
      </c>
      <c r="I25" s="4">
        <f t="shared" si="1"/>
        <v>-5.7791028273574474</v>
      </c>
      <c r="J25" s="55">
        <f t="shared" si="2"/>
        <v>572652</v>
      </c>
      <c r="K25" s="2">
        <f t="shared" si="3"/>
        <v>607776</v>
      </c>
      <c r="L25" s="3">
        <f t="shared" si="4"/>
        <v>-35124</v>
      </c>
      <c r="M25" s="4">
        <f t="shared" si="5"/>
        <v>-5.7791028273574474</v>
      </c>
    </row>
    <row r="26" spans="1:13">
      <c r="A26" s="5" t="s">
        <v>51</v>
      </c>
      <c r="B26" s="5" t="s">
        <v>7</v>
      </c>
      <c r="C26" s="2" t="s">
        <v>43</v>
      </c>
      <c r="D26" s="2">
        <v>50736</v>
      </c>
      <c r="E26" s="2">
        <v>12</v>
      </c>
      <c r="F26" s="2">
        <v>51212</v>
      </c>
      <c r="G26" s="2">
        <v>12</v>
      </c>
      <c r="H26" s="3">
        <f t="shared" si="0"/>
        <v>-476</v>
      </c>
      <c r="I26" s="4">
        <f t="shared" si="1"/>
        <v>-0.92946965554948058</v>
      </c>
      <c r="J26" s="55">
        <f t="shared" si="2"/>
        <v>608832</v>
      </c>
      <c r="K26" s="2">
        <f t="shared" si="3"/>
        <v>614544</v>
      </c>
      <c r="L26" s="3">
        <f t="shared" si="4"/>
        <v>-5712</v>
      </c>
      <c r="M26" s="4">
        <f t="shared" si="5"/>
        <v>-0.92946965554948058</v>
      </c>
    </row>
    <row r="27" spans="1:13">
      <c r="A27" s="5" t="s">
        <v>39</v>
      </c>
      <c r="B27" s="5" t="s">
        <v>113</v>
      </c>
      <c r="C27" s="2" t="s">
        <v>38</v>
      </c>
      <c r="D27" s="2">
        <v>11733</v>
      </c>
      <c r="E27" s="2">
        <v>8</v>
      </c>
      <c r="F27" s="2">
        <v>11686</v>
      </c>
      <c r="G27" s="2">
        <v>8</v>
      </c>
      <c r="H27" s="3">
        <f t="shared" si="0"/>
        <v>47</v>
      </c>
      <c r="I27" s="4">
        <f t="shared" si="1"/>
        <v>0.40219065548519595</v>
      </c>
      <c r="J27" s="55">
        <f t="shared" si="2"/>
        <v>93864</v>
      </c>
      <c r="K27" s="2">
        <f t="shared" si="3"/>
        <v>93488</v>
      </c>
      <c r="L27" s="3">
        <f t="shared" si="4"/>
        <v>376</v>
      </c>
      <c r="M27" s="4">
        <f t="shared" si="5"/>
        <v>0.40219065548519595</v>
      </c>
    </row>
    <row r="28" spans="1:13">
      <c r="A28" s="5" t="s">
        <v>69</v>
      </c>
      <c r="B28" s="5" t="s">
        <v>112</v>
      </c>
      <c r="C28" s="2" t="s">
        <v>144</v>
      </c>
      <c r="D28" s="2">
        <v>16616</v>
      </c>
      <c r="E28" s="2">
        <v>10</v>
      </c>
      <c r="F28" s="2">
        <v>20068</v>
      </c>
      <c r="G28" s="2">
        <v>10</v>
      </c>
      <c r="H28" s="3">
        <f t="shared" si="0"/>
        <v>-3452</v>
      </c>
      <c r="I28" s="4">
        <f t="shared" si="1"/>
        <v>-17.201514849511661</v>
      </c>
      <c r="J28" s="55">
        <f t="shared" si="2"/>
        <v>166160</v>
      </c>
      <c r="K28" s="2">
        <f t="shared" si="3"/>
        <v>200680</v>
      </c>
      <c r="L28" s="3">
        <f t="shared" si="4"/>
        <v>-34520</v>
      </c>
      <c r="M28" s="4">
        <f t="shared" si="5"/>
        <v>-17.201514849511661</v>
      </c>
    </row>
    <row r="29" spans="1:13">
      <c r="A29" s="5" t="s">
        <v>23</v>
      </c>
      <c r="B29" s="5" t="s">
        <v>114</v>
      </c>
      <c r="C29" s="2" t="s">
        <v>21</v>
      </c>
      <c r="D29" s="2">
        <v>21011</v>
      </c>
      <c r="E29" s="2">
        <v>18</v>
      </c>
      <c r="F29" s="2">
        <v>23787</v>
      </c>
      <c r="G29" s="2">
        <v>18</v>
      </c>
      <c r="H29" s="3">
        <f t="shared" si="0"/>
        <v>-2776</v>
      </c>
      <c r="I29" s="4">
        <f t="shared" si="1"/>
        <v>-11.670240047084542</v>
      </c>
      <c r="J29" s="55">
        <f t="shared" si="2"/>
        <v>378198</v>
      </c>
      <c r="K29" s="2">
        <f t="shared" si="3"/>
        <v>428166</v>
      </c>
      <c r="L29" s="3">
        <f t="shared" si="4"/>
        <v>-49968</v>
      </c>
      <c r="M29" s="4">
        <f t="shared" si="5"/>
        <v>-11.670240047084542</v>
      </c>
    </row>
    <row r="30" spans="1:13">
      <c r="A30" s="5" t="s">
        <v>52</v>
      </c>
      <c r="B30" s="5" t="s">
        <v>7</v>
      </c>
      <c r="C30" s="2" t="s">
        <v>43</v>
      </c>
      <c r="D30" s="2">
        <v>10033</v>
      </c>
      <c r="E30" s="2">
        <v>7</v>
      </c>
      <c r="F30" s="2">
        <v>12688</v>
      </c>
      <c r="G30" s="2">
        <v>7</v>
      </c>
      <c r="H30" s="3">
        <f t="shared" si="0"/>
        <v>-2655</v>
      </c>
      <c r="I30" s="4">
        <f t="shared" si="1"/>
        <v>-20.92528373266078</v>
      </c>
      <c r="J30" s="55">
        <f t="shared" si="2"/>
        <v>70231</v>
      </c>
      <c r="K30" s="2">
        <f t="shared" si="3"/>
        <v>88816</v>
      </c>
      <c r="L30" s="3">
        <f t="shared" si="4"/>
        <v>-18585</v>
      </c>
      <c r="M30" s="4">
        <f t="shared" si="5"/>
        <v>-20.92528373266078</v>
      </c>
    </row>
    <row r="31" spans="1:13">
      <c r="A31" s="5" t="s">
        <v>105</v>
      </c>
      <c r="B31" s="5" t="s">
        <v>114</v>
      </c>
      <c r="C31" s="2" t="s">
        <v>106</v>
      </c>
      <c r="D31" s="2">
        <v>14597</v>
      </c>
      <c r="E31" s="2">
        <v>15</v>
      </c>
      <c r="F31" s="2">
        <v>13714</v>
      </c>
      <c r="G31" s="2">
        <v>15</v>
      </c>
      <c r="H31" s="3">
        <f t="shared" si="0"/>
        <v>883</v>
      </c>
      <c r="I31" s="4">
        <f t="shared" si="1"/>
        <v>6.4386758057459534</v>
      </c>
      <c r="J31" s="55">
        <f t="shared" si="2"/>
        <v>218955</v>
      </c>
      <c r="K31" s="2">
        <f t="shared" si="3"/>
        <v>205710</v>
      </c>
      <c r="L31" s="3">
        <f t="shared" si="4"/>
        <v>13245</v>
      </c>
      <c r="M31" s="4">
        <f t="shared" si="5"/>
        <v>6.4386758057459534</v>
      </c>
    </row>
    <row r="32" spans="1:13">
      <c r="A32" s="5" t="s">
        <v>12</v>
      </c>
      <c r="B32" s="5" t="s">
        <v>10</v>
      </c>
      <c r="C32" s="2" t="s">
        <v>144</v>
      </c>
      <c r="D32" s="2">
        <v>32836</v>
      </c>
      <c r="E32" s="2">
        <v>13</v>
      </c>
      <c r="F32" s="2">
        <v>35533</v>
      </c>
      <c r="G32" s="2">
        <v>17</v>
      </c>
      <c r="H32" s="3">
        <f t="shared" si="0"/>
        <v>-2697</v>
      </c>
      <c r="I32" s="4">
        <f t="shared" si="1"/>
        <v>-7.5901274871246445</v>
      </c>
      <c r="J32" s="55">
        <f t="shared" si="2"/>
        <v>426868</v>
      </c>
      <c r="K32" s="2">
        <f t="shared" si="3"/>
        <v>604061</v>
      </c>
      <c r="L32" s="3">
        <f t="shared" si="4"/>
        <v>-177193</v>
      </c>
      <c r="M32" s="4">
        <f t="shared" si="5"/>
        <v>-29.333626901918844</v>
      </c>
    </row>
    <row r="33" spans="1:13">
      <c r="A33" s="5" t="s">
        <v>53</v>
      </c>
      <c r="B33" s="5" t="s">
        <v>48</v>
      </c>
      <c r="C33" s="2" t="s">
        <v>43</v>
      </c>
      <c r="D33" s="2">
        <v>135002</v>
      </c>
      <c r="E33" s="2">
        <v>53</v>
      </c>
      <c r="F33" s="2">
        <v>146964</v>
      </c>
      <c r="G33" s="2">
        <v>52</v>
      </c>
      <c r="H33" s="3">
        <f t="shared" si="0"/>
        <v>-11962</v>
      </c>
      <c r="I33" s="4">
        <f t="shared" si="1"/>
        <v>-8.1394082904656919</v>
      </c>
      <c r="J33" s="55">
        <f t="shared" si="2"/>
        <v>7155106</v>
      </c>
      <c r="K33" s="2">
        <f t="shared" si="3"/>
        <v>7642128</v>
      </c>
      <c r="L33" s="3">
        <f t="shared" si="4"/>
        <v>-487022</v>
      </c>
      <c r="M33" s="4">
        <f t="shared" si="5"/>
        <v>-6.3728584498977252</v>
      </c>
    </row>
    <row r="34" spans="1:13">
      <c r="A34" s="5" t="s">
        <v>55</v>
      </c>
      <c r="B34" s="5" t="s">
        <v>6</v>
      </c>
      <c r="C34" s="2" t="s">
        <v>43</v>
      </c>
      <c r="D34" s="2">
        <v>184678</v>
      </c>
      <c r="E34" s="2">
        <v>53</v>
      </c>
      <c r="F34" s="2">
        <v>193936</v>
      </c>
      <c r="G34" s="2">
        <v>52</v>
      </c>
      <c r="H34" s="3">
        <f>D34-F34</f>
        <v>-9258</v>
      </c>
      <c r="I34" s="4">
        <f t="shared" si="1"/>
        <v>-4.7737397904463332</v>
      </c>
      <c r="J34" s="55">
        <f>D34*E34</f>
        <v>9787934</v>
      </c>
      <c r="K34" s="2">
        <f>F34*G34</f>
        <v>10084672</v>
      </c>
      <c r="L34" s="3">
        <f>J34-K34</f>
        <v>-296738</v>
      </c>
      <c r="M34" s="4">
        <f t="shared" si="5"/>
        <v>-2.9424655556472237</v>
      </c>
    </row>
    <row r="35" spans="1:13">
      <c r="A35" s="5" t="s">
        <v>54</v>
      </c>
      <c r="B35" s="5" t="s">
        <v>7</v>
      </c>
      <c r="C35" s="2" t="s">
        <v>43</v>
      </c>
      <c r="D35" s="2">
        <v>20270</v>
      </c>
      <c r="E35" s="2">
        <v>12</v>
      </c>
      <c r="F35" s="2">
        <v>26060</v>
      </c>
      <c r="G35" s="2">
        <v>12</v>
      </c>
      <c r="H35" s="3">
        <f t="shared" si="0"/>
        <v>-5790</v>
      </c>
      <c r="I35" s="4">
        <f t="shared" si="1"/>
        <v>-22.217958557175749</v>
      </c>
      <c r="J35" s="55">
        <f t="shared" si="2"/>
        <v>243240</v>
      </c>
      <c r="K35" s="2">
        <f t="shared" si="3"/>
        <v>312720</v>
      </c>
      <c r="L35" s="3">
        <f t="shared" si="4"/>
        <v>-69480</v>
      </c>
      <c r="M35" s="4">
        <f t="shared" si="5"/>
        <v>-22.217958557175749</v>
      </c>
    </row>
    <row r="36" spans="1:13">
      <c r="A36" s="5" t="s">
        <v>56</v>
      </c>
      <c r="B36" s="5" t="s">
        <v>114</v>
      </c>
      <c r="C36" s="2" t="s">
        <v>43</v>
      </c>
      <c r="D36" s="2">
        <v>54491</v>
      </c>
      <c r="E36" s="2">
        <v>11</v>
      </c>
      <c r="F36" s="2">
        <v>59832</v>
      </c>
      <c r="G36" s="2">
        <v>11</v>
      </c>
      <c r="H36" s="3">
        <f t="shared" ref="H36:H70" si="6">D36-F36</f>
        <v>-5341</v>
      </c>
      <c r="I36" s="4">
        <f t="shared" si="1"/>
        <v>-8.9266613183580699</v>
      </c>
      <c r="J36" s="55">
        <f t="shared" ref="J36:J70" si="7">D36*E36</f>
        <v>599401</v>
      </c>
      <c r="K36" s="2">
        <f t="shared" ref="K36:K70" si="8">F36*G36</f>
        <v>658152</v>
      </c>
      <c r="L36" s="3">
        <f t="shared" si="4"/>
        <v>-58751</v>
      </c>
      <c r="M36" s="4">
        <f t="shared" si="5"/>
        <v>-8.9266613183580699</v>
      </c>
    </row>
    <row r="37" spans="1:13">
      <c r="A37" s="5" t="s">
        <v>24</v>
      </c>
      <c r="B37" s="5" t="s">
        <v>7</v>
      </c>
      <c r="C37" s="2" t="s">
        <v>21</v>
      </c>
      <c r="D37" s="2">
        <v>29599</v>
      </c>
      <c r="E37" s="2">
        <v>18</v>
      </c>
      <c r="F37" s="2">
        <v>35883</v>
      </c>
      <c r="G37" s="2">
        <v>18</v>
      </c>
      <c r="H37" s="3">
        <f t="shared" si="6"/>
        <v>-6284</v>
      </c>
      <c r="I37" s="4">
        <f t="shared" si="1"/>
        <v>-17.512471086586963</v>
      </c>
      <c r="J37" s="55">
        <f t="shared" si="7"/>
        <v>532782</v>
      </c>
      <c r="K37" s="2">
        <f t="shared" si="8"/>
        <v>645894</v>
      </c>
      <c r="L37" s="3">
        <f t="shared" si="4"/>
        <v>-113112</v>
      </c>
      <c r="M37" s="4">
        <f t="shared" si="5"/>
        <v>-17.512471086586963</v>
      </c>
    </row>
    <row r="38" spans="1:13">
      <c r="A38" s="5" t="s">
        <v>25</v>
      </c>
      <c r="B38" s="5" t="s">
        <v>7</v>
      </c>
      <c r="C38" s="2" t="s">
        <v>21</v>
      </c>
      <c r="D38" s="2">
        <v>64708</v>
      </c>
      <c r="E38" s="2">
        <v>18</v>
      </c>
      <c r="F38" s="2">
        <v>75426</v>
      </c>
      <c r="G38" s="2">
        <v>18</v>
      </c>
      <c r="H38" s="3">
        <f>D38-F38</f>
        <v>-10718</v>
      </c>
      <c r="I38" s="4">
        <f t="shared" si="1"/>
        <v>-14.209954127224034</v>
      </c>
      <c r="J38" s="55">
        <f>D38*E38</f>
        <v>1164744</v>
      </c>
      <c r="K38" s="2">
        <f>F38*G38</f>
        <v>1357668</v>
      </c>
      <c r="L38" s="3">
        <f>J38-K38</f>
        <v>-192924</v>
      </c>
      <c r="M38" s="4">
        <f t="shared" si="5"/>
        <v>-14.209954127224034</v>
      </c>
    </row>
    <row r="39" spans="1:13">
      <c r="A39" s="5" t="s">
        <v>107</v>
      </c>
      <c r="B39" s="5" t="s">
        <v>7</v>
      </c>
      <c r="C39" s="2" t="s">
        <v>21</v>
      </c>
      <c r="D39" s="2">
        <v>24169</v>
      </c>
      <c r="E39" s="2">
        <v>18</v>
      </c>
      <c r="F39" s="2">
        <v>24840</v>
      </c>
      <c r="G39" s="2">
        <v>18</v>
      </c>
      <c r="H39" s="3">
        <f t="shared" si="6"/>
        <v>-671</v>
      </c>
      <c r="I39" s="4">
        <f t="shared" si="1"/>
        <v>-2.7012882447665056</v>
      </c>
      <c r="J39" s="55">
        <f t="shared" si="7"/>
        <v>435042</v>
      </c>
      <c r="K39" s="2">
        <f t="shared" si="8"/>
        <v>447120</v>
      </c>
      <c r="L39" s="3">
        <f t="shared" si="4"/>
        <v>-12078</v>
      </c>
      <c r="M39" s="4">
        <f t="shared" si="5"/>
        <v>-2.7012882447665056</v>
      </c>
    </row>
    <row r="40" spans="1:13">
      <c r="A40" s="5" t="s">
        <v>57</v>
      </c>
      <c r="B40" s="5" t="s">
        <v>113</v>
      </c>
      <c r="C40" s="2" t="s">
        <v>43</v>
      </c>
      <c r="D40" s="2">
        <v>18689</v>
      </c>
      <c r="E40" s="2">
        <v>8</v>
      </c>
      <c r="F40" s="2">
        <v>19693</v>
      </c>
      <c r="G40" s="2">
        <v>8</v>
      </c>
      <c r="H40" s="3">
        <f t="shared" si="6"/>
        <v>-1004</v>
      </c>
      <c r="I40" s="4">
        <f t="shared" si="1"/>
        <v>-5.0982582643578933</v>
      </c>
      <c r="J40" s="55">
        <f t="shared" si="7"/>
        <v>149512</v>
      </c>
      <c r="K40" s="2">
        <f t="shared" si="8"/>
        <v>157544</v>
      </c>
      <c r="L40" s="3">
        <f t="shared" si="4"/>
        <v>-8032</v>
      </c>
      <c r="M40" s="4">
        <f t="shared" si="5"/>
        <v>-5.0982582643578933</v>
      </c>
    </row>
    <row r="41" spans="1:13">
      <c r="A41" s="5" t="s">
        <v>70</v>
      </c>
      <c r="B41" s="5" t="s">
        <v>113</v>
      </c>
      <c r="C41" s="2" t="s">
        <v>144</v>
      </c>
      <c r="D41" s="2">
        <v>17842</v>
      </c>
      <c r="E41" s="2">
        <v>10</v>
      </c>
      <c r="F41" s="2">
        <v>17830</v>
      </c>
      <c r="G41" s="2">
        <v>11</v>
      </c>
      <c r="H41" s="3">
        <f t="shared" si="6"/>
        <v>12</v>
      </c>
      <c r="I41" s="4">
        <f t="shared" si="1"/>
        <v>6.7302299495232754E-2</v>
      </c>
      <c r="J41" s="55">
        <f t="shared" si="7"/>
        <v>178420</v>
      </c>
      <c r="K41" s="2">
        <f t="shared" si="8"/>
        <v>196130</v>
      </c>
      <c r="L41" s="3">
        <f t="shared" si="4"/>
        <v>-17710</v>
      </c>
      <c r="M41" s="4">
        <f t="shared" si="5"/>
        <v>-9.0297251822770619</v>
      </c>
    </row>
    <row r="42" spans="1:13">
      <c r="A42" s="5" t="s">
        <v>35</v>
      </c>
      <c r="B42" s="5" t="s">
        <v>7</v>
      </c>
      <c r="C42" s="2" t="s">
        <v>31</v>
      </c>
      <c r="D42" s="2">
        <v>17764</v>
      </c>
      <c r="E42" s="2">
        <v>17</v>
      </c>
      <c r="F42" s="2">
        <v>18713</v>
      </c>
      <c r="G42" s="2">
        <v>17</v>
      </c>
      <c r="H42" s="3">
        <f t="shared" si="6"/>
        <v>-949</v>
      </c>
      <c r="I42" s="4">
        <f t="shared" si="1"/>
        <v>-5.0713407791374978</v>
      </c>
      <c r="J42" s="55">
        <f t="shared" si="7"/>
        <v>301988</v>
      </c>
      <c r="K42" s="2">
        <f t="shared" si="8"/>
        <v>318121</v>
      </c>
      <c r="L42" s="3">
        <f t="shared" si="4"/>
        <v>-16133</v>
      </c>
      <c r="M42" s="4">
        <f t="shared" si="5"/>
        <v>-5.0713407791374978</v>
      </c>
    </row>
    <row r="43" spans="1:13">
      <c r="A43" s="5" t="s">
        <v>58</v>
      </c>
      <c r="B43" s="5" t="s">
        <v>10</v>
      </c>
      <c r="C43" s="2" t="s">
        <v>43</v>
      </c>
      <c r="D43" s="2">
        <v>48010</v>
      </c>
      <c r="E43" s="2">
        <v>27</v>
      </c>
      <c r="F43" s="2">
        <v>50868</v>
      </c>
      <c r="G43" s="2">
        <v>25</v>
      </c>
      <c r="H43" s="3">
        <f t="shared" si="6"/>
        <v>-2858</v>
      </c>
      <c r="I43" s="4">
        <f t="shared" si="1"/>
        <v>-5.6184634740898014</v>
      </c>
      <c r="J43" s="55">
        <f t="shared" si="7"/>
        <v>1296270</v>
      </c>
      <c r="K43" s="2">
        <f t="shared" si="8"/>
        <v>1271700</v>
      </c>
      <c r="L43" s="3">
        <f>J43-K43</f>
        <v>24570</v>
      </c>
      <c r="M43" s="4">
        <f t="shared" si="5"/>
        <v>1.9320594479830149</v>
      </c>
    </row>
    <row r="44" spans="1:13">
      <c r="A44" s="5" t="s">
        <v>13</v>
      </c>
      <c r="B44" s="5" t="s">
        <v>10</v>
      </c>
      <c r="C44" s="2" t="s">
        <v>144</v>
      </c>
      <c r="D44" s="2">
        <v>44239</v>
      </c>
      <c r="E44" s="2">
        <v>51</v>
      </c>
      <c r="F44" s="2">
        <v>43535</v>
      </c>
      <c r="G44" s="2">
        <v>52</v>
      </c>
      <c r="H44" s="3">
        <f t="shared" si="6"/>
        <v>704</v>
      </c>
      <c r="I44" s="4">
        <f t="shared" si="1"/>
        <v>1.6170896979441829</v>
      </c>
      <c r="J44" s="55">
        <f t="shared" si="7"/>
        <v>2256189</v>
      </c>
      <c r="K44" s="2">
        <f t="shared" si="8"/>
        <v>2263820</v>
      </c>
      <c r="L44" s="3">
        <f t="shared" ref="L44:L71" si="9">J44-K44</f>
        <v>-7631</v>
      </c>
      <c r="M44" s="4">
        <f t="shared" si="5"/>
        <v>-0.33708510393935914</v>
      </c>
    </row>
    <row r="45" spans="1:13">
      <c r="A45" s="5" t="s">
        <v>127</v>
      </c>
      <c r="B45" s="5" t="s">
        <v>113</v>
      </c>
      <c r="C45" s="2" t="s">
        <v>38</v>
      </c>
      <c r="D45" s="2">
        <v>4692</v>
      </c>
      <c r="E45" s="2">
        <v>6</v>
      </c>
      <c r="F45" s="2">
        <v>4584</v>
      </c>
      <c r="G45" s="2">
        <v>3</v>
      </c>
      <c r="H45" s="3">
        <f>D45-F45</f>
        <v>108</v>
      </c>
      <c r="I45" s="4">
        <f>IF(F45=0,0,H45*100/F45)</f>
        <v>2.3560209424083771</v>
      </c>
      <c r="J45" s="55">
        <f>D45*E45</f>
        <v>28152</v>
      </c>
      <c r="K45" s="2">
        <f>F45*G45</f>
        <v>13752</v>
      </c>
      <c r="L45" s="3">
        <f>J45-K45</f>
        <v>14400</v>
      </c>
      <c r="M45" s="4">
        <f t="shared" si="5"/>
        <v>104.71204188481676</v>
      </c>
    </row>
    <row r="46" spans="1:13">
      <c r="A46" s="5" t="s">
        <v>26</v>
      </c>
      <c r="B46" s="5" t="s">
        <v>7</v>
      </c>
      <c r="C46" s="2" t="s">
        <v>21</v>
      </c>
      <c r="D46" s="2">
        <v>16159</v>
      </c>
      <c r="E46" s="2">
        <v>18</v>
      </c>
      <c r="F46" s="2">
        <v>17432</v>
      </c>
      <c r="G46" s="2">
        <v>18</v>
      </c>
      <c r="H46" s="3">
        <f t="shared" si="6"/>
        <v>-1273</v>
      </c>
      <c r="I46" s="4">
        <f t="shared" si="1"/>
        <v>-7.3026617714547957</v>
      </c>
      <c r="J46" s="55">
        <f t="shared" si="7"/>
        <v>290862</v>
      </c>
      <c r="K46" s="2">
        <f t="shared" si="8"/>
        <v>313776</v>
      </c>
      <c r="L46" s="3">
        <f t="shared" si="9"/>
        <v>-22914</v>
      </c>
      <c r="M46" s="4">
        <f t="shared" si="5"/>
        <v>-7.3026617714547957</v>
      </c>
    </row>
    <row r="47" spans="1:13">
      <c r="A47" s="5" t="s">
        <v>71</v>
      </c>
      <c r="B47" s="5" t="s">
        <v>10</v>
      </c>
      <c r="C47" s="2" t="s">
        <v>144</v>
      </c>
      <c r="D47" s="2">
        <v>32298</v>
      </c>
      <c r="E47" s="2">
        <v>12</v>
      </c>
      <c r="F47" s="2">
        <v>33958</v>
      </c>
      <c r="G47" s="2">
        <v>12</v>
      </c>
      <c r="H47" s="3">
        <f t="shared" si="6"/>
        <v>-1660</v>
      </c>
      <c r="I47" s="4">
        <f t="shared" si="1"/>
        <v>-4.888391542493669</v>
      </c>
      <c r="J47" s="55">
        <f t="shared" si="7"/>
        <v>387576</v>
      </c>
      <c r="K47" s="2">
        <f t="shared" si="8"/>
        <v>407496</v>
      </c>
      <c r="L47" s="3">
        <f t="shared" si="9"/>
        <v>-19920</v>
      </c>
      <c r="M47" s="4">
        <f t="shared" si="5"/>
        <v>-4.888391542493669</v>
      </c>
    </row>
    <row r="48" spans="1:13">
      <c r="A48" s="5" t="s">
        <v>59</v>
      </c>
      <c r="B48" s="5" t="s">
        <v>59</v>
      </c>
      <c r="C48" s="2" t="s">
        <v>43</v>
      </c>
      <c r="D48" s="2">
        <v>14692</v>
      </c>
      <c r="E48" s="2">
        <v>12</v>
      </c>
      <c r="F48" s="2">
        <v>16665</v>
      </c>
      <c r="G48" s="2">
        <v>12</v>
      </c>
      <c r="H48" s="3">
        <f t="shared" si="6"/>
        <v>-1973</v>
      </c>
      <c r="I48" s="4">
        <f t="shared" si="1"/>
        <v>-11.839183918391839</v>
      </c>
      <c r="J48" s="55">
        <f t="shared" si="7"/>
        <v>176304</v>
      </c>
      <c r="K48" s="2">
        <f t="shared" si="8"/>
        <v>199980</v>
      </c>
      <c r="L48" s="3">
        <f t="shared" si="9"/>
        <v>-23676</v>
      </c>
      <c r="M48" s="4">
        <f t="shared" si="5"/>
        <v>-11.839183918391839</v>
      </c>
    </row>
    <row r="49" spans="1:15">
      <c r="A49" s="5" t="s">
        <v>27</v>
      </c>
      <c r="B49" s="5" t="s">
        <v>7</v>
      </c>
      <c r="C49" s="2" t="s">
        <v>21</v>
      </c>
      <c r="D49" s="2">
        <v>14917</v>
      </c>
      <c r="E49" s="2">
        <v>12</v>
      </c>
      <c r="F49" s="2">
        <v>16454</v>
      </c>
      <c r="G49" s="2">
        <v>15</v>
      </c>
      <c r="H49" s="3">
        <f t="shared" si="6"/>
        <v>-1537</v>
      </c>
      <c r="I49" s="4">
        <f t="shared" si="1"/>
        <v>-9.3411936307280907</v>
      </c>
      <c r="J49" s="55">
        <f t="shared" si="7"/>
        <v>179004</v>
      </c>
      <c r="K49" s="2">
        <f t="shared" si="8"/>
        <v>246810</v>
      </c>
      <c r="L49" s="3">
        <f t="shared" si="9"/>
        <v>-67806</v>
      </c>
      <c r="M49" s="4">
        <f t="shared" si="5"/>
        <v>-27.472954904582473</v>
      </c>
    </row>
    <row r="50" spans="1:15">
      <c r="A50" s="5" t="s">
        <v>72</v>
      </c>
      <c r="B50" s="5" t="s">
        <v>7</v>
      </c>
      <c r="C50" s="2" t="s">
        <v>144</v>
      </c>
      <c r="D50" s="2">
        <v>74856</v>
      </c>
      <c r="E50" s="2">
        <v>8</v>
      </c>
      <c r="F50" s="2">
        <v>77178</v>
      </c>
      <c r="G50" s="2">
        <v>8</v>
      </c>
      <c r="H50" s="3">
        <f t="shared" si="6"/>
        <v>-2322</v>
      </c>
      <c r="I50" s="4">
        <f t="shared" si="1"/>
        <v>-3.0086294021612376</v>
      </c>
      <c r="J50" s="55">
        <f t="shared" si="7"/>
        <v>598848</v>
      </c>
      <c r="K50" s="2">
        <f t="shared" si="8"/>
        <v>617424</v>
      </c>
      <c r="L50" s="3">
        <f t="shared" si="9"/>
        <v>-18576</v>
      </c>
      <c r="M50" s="4">
        <f t="shared" si="5"/>
        <v>-3.0086294021612376</v>
      </c>
    </row>
    <row r="51" spans="1:15">
      <c r="A51" s="5" t="s">
        <v>95</v>
      </c>
      <c r="B51" s="5" t="s">
        <v>112</v>
      </c>
      <c r="C51" s="2" t="s">
        <v>43</v>
      </c>
      <c r="D51" s="2">
        <v>15191</v>
      </c>
      <c r="E51" s="2">
        <v>10</v>
      </c>
      <c r="F51" s="2">
        <v>14943</v>
      </c>
      <c r="G51" s="2">
        <v>10</v>
      </c>
      <c r="H51" s="3">
        <f t="shared" si="6"/>
        <v>248</v>
      </c>
      <c r="I51" s="4">
        <f t="shared" si="1"/>
        <v>1.6596399652010976</v>
      </c>
      <c r="J51" s="55">
        <f t="shared" si="7"/>
        <v>151910</v>
      </c>
      <c r="K51" s="2">
        <f t="shared" si="8"/>
        <v>149430</v>
      </c>
      <c r="L51" s="3">
        <f t="shared" si="9"/>
        <v>2480</v>
      </c>
      <c r="M51" s="4">
        <f t="shared" si="5"/>
        <v>1.6596399652010976</v>
      </c>
    </row>
    <row r="52" spans="1:15">
      <c r="A52" s="5" t="s">
        <v>61</v>
      </c>
      <c r="B52" s="5" t="s">
        <v>6</v>
      </c>
      <c r="C52" s="2" t="s">
        <v>43</v>
      </c>
      <c r="D52" s="2">
        <v>102347</v>
      </c>
      <c r="E52" s="2">
        <v>53</v>
      </c>
      <c r="F52" s="2">
        <v>111462</v>
      </c>
      <c r="G52" s="2">
        <v>52</v>
      </c>
      <c r="H52" s="3">
        <f t="shared" si="6"/>
        <v>-9115</v>
      </c>
      <c r="I52" s="4">
        <f t="shared" si="1"/>
        <v>-8.177674902657408</v>
      </c>
      <c r="J52" s="55">
        <f t="shared" si="7"/>
        <v>5424391</v>
      </c>
      <c r="K52" s="2">
        <f t="shared" si="8"/>
        <v>5796024</v>
      </c>
      <c r="L52" s="3">
        <f t="shared" si="9"/>
        <v>-371633</v>
      </c>
      <c r="M52" s="4">
        <f t="shared" si="5"/>
        <v>-6.4118609584777424</v>
      </c>
    </row>
    <row r="53" spans="1:15">
      <c r="A53" s="5" t="s">
        <v>109</v>
      </c>
      <c r="B53" s="5" t="s">
        <v>7</v>
      </c>
      <c r="C53" s="2" t="s">
        <v>144</v>
      </c>
      <c r="D53" s="2">
        <v>28476</v>
      </c>
      <c r="E53" s="2">
        <v>51</v>
      </c>
      <c r="F53" s="2">
        <v>27872</v>
      </c>
      <c r="G53" s="2">
        <v>52</v>
      </c>
      <c r="H53" s="3">
        <f>D53-F53</f>
        <v>604</v>
      </c>
      <c r="I53" s="4">
        <f t="shared" si="1"/>
        <v>2.1670493685419059</v>
      </c>
      <c r="J53" s="55">
        <f>D53*E53</f>
        <v>1452276</v>
      </c>
      <c r="K53" s="2">
        <f>F53*G53</f>
        <v>1449344</v>
      </c>
      <c r="L53" s="3">
        <f>J53-K53</f>
        <v>2932</v>
      </c>
      <c r="M53" s="4">
        <f t="shared" si="5"/>
        <v>0.20229841914686919</v>
      </c>
    </row>
    <row r="54" spans="1:15">
      <c r="A54" s="5" t="s">
        <v>121</v>
      </c>
      <c r="B54" s="5" t="s">
        <v>7</v>
      </c>
      <c r="C54" s="2" t="s">
        <v>31</v>
      </c>
      <c r="D54" s="2">
        <v>89422</v>
      </c>
      <c r="E54" s="2">
        <v>12</v>
      </c>
      <c r="F54" s="2">
        <v>84945</v>
      </c>
      <c r="G54" s="2">
        <v>13</v>
      </c>
      <c r="H54" s="3">
        <f t="shared" si="6"/>
        <v>4477</v>
      </c>
      <c r="I54" s="4">
        <f>IF(F54=0,0,H54*100/F54)</f>
        <v>5.2704691270822295</v>
      </c>
      <c r="J54" s="55">
        <f>D54*E54</f>
        <v>1073064</v>
      </c>
      <c r="K54" s="2">
        <f>F54*G54</f>
        <v>1104285</v>
      </c>
      <c r="L54" s="3">
        <f>J54-K54</f>
        <v>-31221</v>
      </c>
      <c r="M54" s="4">
        <f t="shared" si="5"/>
        <v>-2.8272592673087109</v>
      </c>
    </row>
    <row r="55" spans="1:15">
      <c r="A55" s="5" t="s">
        <v>110</v>
      </c>
      <c r="B55" s="5" t="s">
        <v>114</v>
      </c>
      <c r="C55" s="2" t="s">
        <v>43</v>
      </c>
      <c r="D55" s="2">
        <v>31118</v>
      </c>
      <c r="E55" s="2">
        <v>10</v>
      </c>
      <c r="F55" s="2">
        <v>29447</v>
      </c>
      <c r="G55" s="2">
        <v>10</v>
      </c>
      <c r="H55" s="3">
        <f t="shared" si="6"/>
        <v>1671</v>
      </c>
      <c r="I55" s="4">
        <f t="shared" si="1"/>
        <v>5.6746018270112408</v>
      </c>
      <c r="J55" s="55">
        <f t="shared" si="7"/>
        <v>311180</v>
      </c>
      <c r="K55" s="2">
        <f t="shared" si="8"/>
        <v>294470</v>
      </c>
      <c r="L55" s="3">
        <f t="shared" si="9"/>
        <v>16710</v>
      </c>
      <c r="M55" s="4">
        <f t="shared" si="5"/>
        <v>5.6746018270112408</v>
      </c>
    </row>
    <row r="56" spans="1:15">
      <c r="A56" s="5" t="s">
        <v>73</v>
      </c>
      <c r="B56" s="5" t="s">
        <v>48</v>
      </c>
      <c r="C56" s="2" t="s">
        <v>144</v>
      </c>
      <c r="D56" s="2">
        <v>198794</v>
      </c>
      <c r="E56" s="2">
        <v>51</v>
      </c>
      <c r="F56" s="2">
        <v>214104</v>
      </c>
      <c r="G56" s="2">
        <v>50</v>
      </c>
      <c r="H56" s="3">
        <f t="shared" si="6"/>
        <v>-15310</v>
      </c>
      <c r="I56" s="4">
        <f t="shared" si="1"/>
        <v>-7.1507304861188956</v>
      </c>
      <c r="J56" s="55">
        <f t="shared" si="7"/>
        <v>10138494</v>
      </c>
      <c r="K56" s="2">
        <f t="shared" si="8"/>
        <v>10705200</v>
      </c>
      <c r="L56" s="3">
        <f t="shared" si="9"/>
        <v>-566706</v>
      </c>
      <c r="M56" s="4">
        <f t="shared" si="5"/>
        <v>-5.2937450958412731</v>
      </c>
      <c r="O56" s="47"/>
    </row>
    <row r="57" spans="1:15">
      <c r="A57" s="5" t="s">
        <v>74</v>
      </c>
      <c r="B57" s="5" t="s">
        <v>48</v>
      </c>
      <c r="C57" s="2" t="s">
        <v>144</v>
      </c>
      <c r="D57" s="2">
        <v>150310</v>
      </c>
      <c r="E57" s="2">
        <v>51</v>
      </c>
      <c r="F57" s="2">
        <v>164782</v>
      </c>
      <c r="G57" s="2">
        <v>51</v>
      </c>
      <c r="H57" s="3">
        <f t="shared" si="6"/>
        <v>-14472</v>
      </c>
      <c r="I57" s="4">
        <f t="shared" si="1"/>
        <v>-8.7825126530810405</v>
      </c>
      <c r="J57" s="55">
        <f t="shared" si="7"/>
        <v>7665810</v>
      </c>
      <c r="K57" s="2">
        <f t="shared" si="8"/>
        <v>8403882</v>
      </c>
      <c r="L57" s="3">
        <f t="shared" si="9"/>
        <v>-738072</v>
      </c>
      <c r="M57" s="4">
        <f t="shared" si="5"/>
        <v>-8.7825126530810405</v>
      </c>
    </row>
    <row r="58" spans="1:15">
      <c r="A58" s="5" t="s">
        <v>28</v>
      </c>
      <c r="B58" s="5" t="s">
        <v>7</v>
      </c>
      <c r="C58" s="2" t="s">
        <v>106</v>
      </c>
      <c r="D58" s="2">
        <v>11191</v>
      </c>
      <c r="E58" s="2">
        <v>12</v>
      </c>
      <c r="F58" s="2">
        <v>14503</v>
      </c>
      <c r="G58" s="2">
        <v>12</v>
      </c>
      <c r="H58" s="3">
        <f t="shared" si="6"/>
        <v>-3312</v>
      </c>
      <c r="I58" s="4">
        <f t="shared" si="1"/>
        <v>-22.836654485278906</v>
      </c>
      <c r="J58" s="55">
        <f t="shared" si="7"/>
        <v>134292</v>
      </c>
      <c r="K58" s="2">
        <f t="shared" si="8"/>
        <v>174036</v>
      </c>
      <c r="L58" s="3">
        <f t="shared" si="9"/>
        <v>-39744</v>
      </c>
      <c r="M58" s="4">
        <f t="shared" si="5"/>
        <v>-22.836654485278906</v>
      </c>
    </row>
    <row r="59" spans="1:15">
      <c r="A59" s="5" t="s">
        <v>29</v>
      </c>
      <c r="B59" s="5" t="s">
        <v>10</v>
      </c>
      <c r="C59" s="2" t="s">
        <v>21</v>
      </c>
      <c r="D59" s="2">
        <v>51040</v>
      </c>
      <c r="E59" s="2">
        <v>12</v>
      </c>
      <c r="F59" s="2">
        <v>38704</v>
      </c>
      <c r="G59" s="2">
        <v>12</v>
      </c>
      <c r="H59" s="3">
        <f t="shared" si="6"/>
        <v>12336</v>
      </c>
      <c r="I59" s="4">
        <f t="shared" si="1"/>
        <v>31.872674658949979</v>
      </c>
      <c r="J59" s="55">
        <f t="shared" si="7"/>
        <v>612480</v>
      </c>
      <c r="K59" s="2">
        <f t="shared" si="8"/>
        <v>464448</v>
      </c>
      <c r="L59" s="3">
        <f t="shared" si="9"/>
        <v>148032</v>
      </c>
      <c r="M59" s="4">
        <f t="shared" si="5"/>
        <v>31.872674658949979</v>
      </c>
    </row>
    <row r="60" spans="1:15">
      <c r="A60" s="5" t="s">
        <v>37</v>
      </c>
      <c r="B60" s="5" t="s">
        <v>113</v>
      </c>
      <c r="C60" s="2" t="s">
        <v>38</v>
      </c>
      <c r="D60" s="2">
        <v>7117</v>
      </c>
      <c r="E60" s="2">
        <v>6</v>
      </c>
      <c r="F60" s="2">
        <v>6450</v>
      </c>
      <c r="G60" s="2">
        <v>6</v>
      </c>
      <c r="H60" s="3">
        <f t="shared" si="6"/>
        <v>667</v>
      </c>
      <c r="I60" s="4">
        <f t="shared" si="1"/>
        <v>10.34108527131783</v>
      </c>
      <c r="J60" s="55">
        <f t="shared" si="7"/>
        <v>42702</v>
      </c>
      <c r="K60" s="2">
        <f t="shared" si="8"/>
        <v>38700</v>
      </c>
      <c r="L60" s="3">
        <f t="shared" si="9"/>
        <v>4002</v>
      </c>
      <c r="M60" s="4">
        <f t="shared" si="5"/>
        <v>10.34108527131783</v>
      </c>
    </row>
    <row r="61" spans="1:15">
      <c r="A61" s="5" t="s">
        <v>75</v>
      </c>
      <c r="B61" s="5" t="s">
        <v>10</v>
      </c>
      <c r="C61" s="2" t="s">
        <v>144</v>
      </c>
      <c r="D61" s="2">
        <v>53403</v>
      </c>
      <c r="E61" s="2">
        <v>13</v>
      </c>
      <c r="F61" s="2">
        <v>47640</v>
      </c>
      <c r="G61" s="2">
        <v>12</v>
      </c>
      <c r="H61" s="3">
        <f t="shared" si="6"/>
        <v>5763</v>
      </c>
      <c r="I61" s="4">
        <f t="shared" si="1"/>
        <v>12.096977329974811</v>
      </c>
      <c r="J61" s="55">
        <f t="shared" si="7"/>
        <v>694239</v>
      </c>
      <c r="K61" s="2">
        <f t="shared" si="8"/>
        <v>571680</v>
      </c>
      <c r="L61" s="3">
        <f t="shared" si="9"/>
        <v>122559</v>
      </c>
      <c r="M61" s="4">
        <f t="shared" si="5"/>
        <v>21.438392107472712</v>
      </c>
    </row>
    <row r="62" spans="1:15">
      <c r="A62" s="5" t="s">
        <v>65</v>
      </c>
      <c r="B62" s="5" t="s">
        <v>7</v>
      </c>
      <c r="C62" s="2" t="s">
        <v>66</v>
      </c>
      <c r="D62" s="2">
        <v>18577</v>
      </c>
      <c r="E62" s="2">
        <v>47</v>
      </c>
      <c r="F62" s="2">
        <v>21938</v>
      </c>
      <c r="G62" s="2">
        <v>46</v>
      </c>
      <c r="H62" s="3">
        <f t="shared" si="6"/>
        <v>-3361</v>
      </c>
      <c r="I62" s="4">
        <f t="shared" si="1"/>
        <v>-15.320448536785486</v>
      </c>
      <c r="J62" s="55">
        <f t="shared" si="7"/>
        <v>873119</v>
      </c>
      <c r="K62" s="2">
        <f t="shared" si="8"/>
        <v>1009148</v>
      </c>
      <c r="L62" s="3">
        <f t="shared" si="9"/>
        <v>-136029</v>
      </c>
      <c r="M62" s="4">
        <f t="shared" ref="M62:M70" si="10">IF(J62=0,0,L62*100/K62)</f>
        <v>-13.479588722367779</v>
      </c>
    </row>
    <row r="63" spans="1:15">
      <c r="A63" s="5" t="s">
        <v>128</v>
      </c>
      <c r="B63" s="5" t="s">
        <v>113</v>
      </c>
      <c r="C63" s="2" t="s">
        <v>38</v>
      </c>
      <c r="D63" s="2">
        <v>7701</v>
      </c>
      <c r="E63" s="2">
        <v>6</v>
      </c>
      <c r="F63" s="2">
        <v>6669</v>
      </c>
      <c r="G63" s="2">
        <v>2</v>
      </c>
      <c r="H63" s="3">
        <f>D63-F63</f>
        <v>1032</v>
      </c>
      <c r="I63" s="4">
        <f>IF(F63=0,0,H63*100/F63)</f>
        <v>15.474583895636528</v>
      </c>
      <c r="J63" s="55">
        <f t="shared" si="7"/>
        <v>46206</v>
      </c>
      <c r="K63" s="2">
        <f>F63*G63</f>
        <v>13338</v>
      </c>
      <c r="L63" s="3">
        <f>J63-K63</f>
        <v>32868</v>
      </c>
      <c r="M63" s="4">
        <f t="shared" si="10"/>
        <v>246.42375168690958</v>
      </c>
    </row>
    <row r="64" spans="1:15">
      <c r="A64" s="5" t="s">
        <v>30</v>
      </c>
      <c r="B64" s="5" t="s">
        <v>7</v>
      </c>
      <c r="C64" s="2" t="s">
        <v>118</v>
      </c>
      <c r="D64" s="2">
        <v>10843</v>
      </c>
      <c r="E64" s="2">
        <v>7</v>
      </c>
      <c r="F64" s="2">
        <v>12467</v>
      </c>
      <c r="G64" s="2">
        <v>7</v>
      </c>
      <c r="H64" s="3">
        <f t="shared" si="6"/>
        <v>-1624</v>
      </c>
      <c r="I64" s="4">
        <f t="shared" ref="I64:I71" si="11">IF(F64=0,0,H64*100/F64)</f>
        <v>-13.026389668725436</v>
      </c>
      <c r="J64" s="55">
        <f t="shared" si="7"/>
        <v>75901</v>
      </c>
      <c r="K64" s="2">
        <f t="shared" si="8"/>
        <v>87269</v>
      </c>
      <c r="L64" s="3">
        <f t="shared" si="9"/>
        <v>-11368</v>
      </c>
      <c r="M64" s="4">
        <f t="shared" si="10"/>
        <v>-13.026389668725436</v>
      </c>
    </row>
    <row r="65" spans="1:13">
      <c r="A65" s="5" t="s">
        <v>64</v>
      </c>
      <c r="B65" s="5" t="s">
        <v>113</v>
      </c>
      <c r="C65" s="2" t="s">
        <v>43</v>
      </c>
      <c r="D65" s="2">
        <v>37523</v>
      </c>
      <c r="E65" s="2">
        <v>12</v>
      </c>
      <c r="F65" s="2">
        <v>42032</v>
      </c>
      <c r="G65" s="2">
        <v>12</v>
      </c>
      <c r="H65" s="3">
        <f>D65-F65</f>
        <v>-4509</v>
      </c>
      <c r="I65" s="4">
        <f t="shared" si="11"/>
        <v>-10.727540921202893</v>
      </c>
      <c r="J65" s="55">
        <f>D65*E65</f>
        <v>450276</v>
      </c>
      <c r="K65" s="2">
        <f>F65*G65</f>
        <v>504384</v>
      </c>
      <c r="L65" s="3">
        <f>J65-K65</f>
        <v>-54108</v>
      </c>
      <c r="M65" s="4">
        <f t="shared" si="10"/>
        <v>-10.727540921202893</v>
      </c>
    </row>
    <row r="66" spans="1:13">
      <c r="A66" s="5" t="s">
        <v>62</v>
      </c>
      <c r="B66" s="5" t="s">
        <v>59</v>
      </c>
      <c r="C66" s="2" t="s">
        <v>43</v>
      </c>
      <c r="D66" s="2">
        <v>81543</v>
      </c>
      <c r="E66" s="2">
        <v>51</v>
      </c>
      <c r="F66" s="2">
        <v>88727</v>
      </c>
      <c r="G66" s="2">
        <v>50</v>
      </c>
      <c r="H66" s="3">
        <f t="shared" si="6"/>
        <v>-7184</v>
      </c>
      <c r="I66" s="4">
        <f t="shared" si="11"/>
        <v>-8.0967461990149552</v>
      </c>
      <c r="J66" s="55">
        <f t="shared" si="7"/>
        <v>4158693</v>
      </c>
      <c r="K66" s="2">
        <f t="shared" si="8"/>
        <v>4436350</v>
      </c>
      <c r="L66" s="3">
        <f t="shared" si="9"/>
        <v>-277657</v>
      </c>
      <c r="M66" s="4">
        <f t="shared" si="10"/>
        <v>-6.258681122995255</v>
      </c>
    </row>
    <row r="67" spans="1:13">
      <c r="A67" s="5" t="s">
        <v>63</v>
      </c>
      <c r="B67" s="5" t="s">
        <v>112</v>
      </c>
      <c r="C67" s="2" t="s">
        <v>43</v>
      </c>
      <c r="D67" s="2">
        <v>5749</v>
      </c>
      <c r="E67" s="2">
        <v>7</v>
      </c>
      <c r="F67" s="2">
        <v>7464</v>
      </c>
      <c r="G67" s="2">
        <v>7</v>
      </c>
      <c r="H67" s="3">
        <f t="shared" si="6"/>
        <v>-1715</v>
      </c>
      <c r="I67" s="4">
        <f t="shared" si="11"/>
        <v>-22.976956055734192</v>
      </c>
      <c r="J67" s="55">
        <f t="shared" si="7"/>
        <v>40243</v>
      </c>
      <c r="K67" s="2">
        <f t="shared" si="8"/>
        <v>52248</v>
      </c>
      <c r="L67" s="3">
        <f t="shared" si="9"/>
        <v>-12005</v>
      </c>
      <c r="M67" s="4">
        <f t="shared" si="10"/>
        <v>-22.976956055734192</v>
      </c>
    </row>
    <row r="68" spans="1:13">
      <c r="A68" s="5" t="s">
        <v>123</v>
      </c>
      <c r="B68" s="5" t="s">
        <v>7</v>
      </c>
      <c r="C68" s="2" t="s">
        <v>144</v>
      </c>
      <c r="D68" s="2">
        <v>88407</v>
      </c>
      <c r="E68" s="2">
        <v>11</v>
      </c>
      <c r="F68" s="2">
        <v>91795</v>
      </c>
      <c r="G68" s="2">
        <v>11</v>
      </c>
      <c r="H68" s="3">
        <f t="shared" si="6"/>
        <v>-3388</v>
      </c>
      <c r="I68" s="4">
        <f t="shared" si="11"/>
        <v>-3.6908328340323546</v>
      </c>
      <c r="J68" s="55">
        <f t="shared" si="7"/>
        <v>972477</v>
      </c>
      <c r="K68" s="2">
        <f>F68*G68</f>
        <v>1009745</v>
      </c>
      <c r="L68" s="3">
        <f>J68-K68</f>
        <v>-37268</v>
      </c>
      <c r="M68" s="4">
        <f t="shared" si="10"/>
        <v>-3.6908328340323546</v>
      </c>
    </row>
    <row r="69" spans="1:13">
      <c r="A69" s="5" t="s">
        <v>36</v>
      </c>
      <c r="B69" s="5" t="s">
        <v>7</v>
      </c>
      <c r="C69" s="2" t="s">
        <v>31</v>
      </c>
      <c r="D69" s="2">
        <v>10093</v>
      </c>
      <c r="E69" s="2">
        <v>17</v>
      </c>
      <c r="F69" s="2">
        <v>11534</v>
      </c>
      <c r="G69" s="2">
        <v>26</v>
      </c>
      <c r="H69" s="3">
        <f t="shared" si="6"/>
        <v>-1441</v>
      </c>
      <c r="I69" s="4">
        <f t="shared" si="11"/>
        <v>-12.493497485694469</v>
      </c>
      <c r="J69" s="55">
        <f t="shared" si="7"/>
        <v>171581</v>
      </c>
      <c r="K69" s="2">
        <f t="shared" si="8"/>
        <v>299884</v>
      </c>
      <c r="L69" s="3">
        <f t="shared" si="9"/>
        <v>-128303</v>
      </c>
      <c r="M69" s="4">
        <f t="shared" si="10"/>
        <v>-42.784209894492534</v>
      </c>
    </row>
    <row r="70" spans="1:13">
      <c r="A70" s="5" t="s">
        <v>19</v>
      </c>
      <c r="B70" s="5" t="s">
        <v>10</v>
      </c>
      <c r="C70" s="2" t="s">
        <v>18</v>
      </c>
      <c r="D70" s="2">
        <v>30999</v>
      </c>
      <c r="E70" s="2">
        <v>12</v>
      </c>
      <c r="F70" s="2">
        <v>31558</v>
      </c>
      <c r="G70" s="2">
        <v>12</v>
      </c>
      <c r="H70" s="3">
        <f t="shared" si="6"/>
        <v>-559</v>
      </c>
      <c r="I70" s="4">
        <f t="shared" si="11"/>
        <v>-1.7713416566322326</v>
      </c>
      <c r="J70" s="55">
        <f t="shared" si="7"/>
        <v>371988</v>
      </c>
      <c r="K70" s="2">
        <f t="shared" si="8"/>
        <v>378696</v>
      </c>
      <c r="L70" s="3">
        <f t="shared" si="9"/>
        <v>-6708</v>
      </c>
      <c r="M70" s="4">
        <f t="shared" si="10"/>
        <v>-1.7713416566322326</v>
      </c>
    </row>
    <row r="71" spans="1:13" s="14" customFormat="1">
      <c r="A71" s="49" t="s">
        <v>76</v>
      </c>
      <c r="B71" s="49"/>
      <c r="C71" s="50" t="s">
        <v>76</v>
      </c>
      <c r="D71" s="50">
        <f>SUM(D4:D70)</f>
        <v>2838420</v>
      </c>
      <c r="E71" s="50"/>
      <c r="F71" s="50">
        <f>SUM(F4:F70)</f>
        <v>2998341</v>
      </c>
      <c r="G71" s="50"/>
      <c r="H71" s="51">
        <f>SUM(H4:H70)</f>
        <v>-159921</v>
      </c>
      <c r="I71" s="70">
        <f t="shared" si="11"/>
        <v>-5.3336495081780226</v>
      </c>
      <c r="J71" s="71">
        <f>SUM(J4:J70)</f>
        <v>80613491</v>
      </c>
      <c r="K71" s="50">
        <f>SUM(K4:K70)</f>
        <v>85520394</v>
      </c>
      <c r="L71" s="51">
        <f t="shared" si="9"/>
        <v>-4906903</v>
      </c>
      <c r="M71" s="56">
        <f>IF(J71=0,0,L71*100/K71)</f>
        <v>-5.7376992439955314</v>
      </c>
    </row>
    <row r="73" spans="1:13">
      <c r="C73" s="2" t="s">
        <v>144</v>
      </c>
      <c r="D73" s="5" t="s">
        <v>119</v>
      </c>
      <c r="E73" s="5"/>
      <c r="F73" s="2" t="s">
        <v>38</v>
      </c>
      <c r="G73" s="5" t="s">
        <v>39</v>
      </c>
      <c r="H73" s="5"/>
      <c r="I73" s="2"/>
      <c r="L73" s="46"/>
    </row>
    <row r="74" spans="1:13">
      <c r="C74" s="2" t="s">
        <v>78</v>
      </c>
      <c r="D74" s="5" t="s">
        <v>77</v>
      </c>
      <c r="E74" s="5"/>
      <c r="F74" s="2" t="s">
        <v>43</v>
      </c>
      <c r="G74" s="5" t="s">
        <v>82</v>
      </c>
      <c r="H74" s="5"/>
      <c r="I74" s="2"/>
      <c r="J74" s="15"/>
    </row>
    <row r="75" spans="1:13">
      <c r="C75" s="2" t="s">
        <v>18</v>
      </c>
      <c r="D75" s="5" t="s">
        <v>79</v>
      </c>
      <c r="E75" s="5"/>
      <c r="F75" s="2" t="s">
        <v>66</v>
      </c>
      <c r="G75" s="5" t="s">
        <v>83</v>
      </c>
      <c r="H75" s="5"/>
      <c r="I75" s="2"/>
      <c r="M75" s="57"/>
    </row>
    <row r="76" spans="1:13">
      <c r="C76" s="2" t="s">
        <v>21</v>
      </c>
      <c r="D76" s="5" t="s">
        <v>80</v>
      </c>
      <c r="E76" s="5"/>
      <c r="F76" s="2" t="s">
        <v>118</v>
      </c>
      <c r="G76" s="5" t="s">
        <v>120</v>
      </c>
      <c r="H76" s="5"/>
      <c r="I76" s="2"/>
    </row>
    <row r="77" spans="1:13">
      <c r="C77" s="2" t="s">
        <v>106</v>
      </c>
      <c r="D77" s="5" t="s">
        <v>111</v>
      </c>
      <c r="E77" s="5"/>
      <c r="F77" s="2" t="s">
        <v>124</v>
      </c>
      <c r="G77" s="2" t="s">
        <v>125</v>
      </c>
      <c r="H77" s="5"/>
      <c r="I77" s="2"/>
    </row>
    <row r="78" spans="1:13">
      <c r="C78" s="2" t="s">
        <v>31</v>
      </c>
      <c r="D78" s="5" t="s">
        <v>81</v>
      </c>
      <c r="E78" s="5"/>
      <c r="F78" s="2" t="s">
        <v>137</v>
      </c>
      <c r="G78" s="5" t="s">
        <v>138</v>
      </c>
      <c r="H78" s="5"/>
    </row>
    <row r="79" spans="1:13">
      <c r="C79" s="6"/>
      <c r="D79" s="6"/>
      <c r="E79" s="6"/>
    </row>
    <row r="81" spans="1:13">
      <c r="A81" s="8" t="s">
        <v>132</v>
      </c>
      <c r="B81" s="9" t="s">
        <v>4</v>
      </c>
      <c r="C81" s="9" t="s">
        <v>1</v>
      </c>
      <c r="D81" s="52">
        <f>D3</f>
        <v>2009</v>
      </c>
      <c r="E81" s="10" t="s">
        <v>2</v>
      </c>
      <c r="F81" s="52">
        <f>F3</f>
        <v>2008</v>
      </c>
      <c r="G81" s="10" t="s">
        <v>2</v>
      </c>
      <c r="H81" s="11" t="s">
        <v>103</v>
      </c>
    </row>
    <row r="83" spans="1:13">
      <c r="A83" s="5" t="s">
        <v>134</v>
      </c>
      <c r="B83" s="5" t="s">
        <v>7</v>
      </c>
      <c r="C83" s="2" t="s">
        <v>21</v>
      </c>
      <c r="D83" s="2">
        <v>13344</v>
      </c>
      <c r="E83" s="2">
        <v>12</v>
      </c>
      <c r="H83" s="3">
        <f t="shared" ref="H83:H88" si="12">D83-F83</f>
        <v>13344</v>
      </c>
      <c r="I83" s="4">
        <f>IF(F83=0,0,H83*100/F83)</f>
        <v>0</v>
      </c>
      <c r="J83" s="55">
        <f>D83*E83</f>
        <v>160128</v>
      </c>
      <c r="K83" s="2">
        <f>F83*G83</f>
        <v>0</v>
      </c>
      <c r="L83" s="3">
        <f>J83-K83</f>
        <v>160128</v>
      </c>
      <c r="M83" s="4"/>
    </row>
    <row r="84" spans="1:13">
      <c r="A84" s="5" t="s">
        <v>135</v>
      </c>
      <c r="B84" s="5" t="s">
        <v>113</v>
      </c>
      <c r="C84" s="2" t="s">
        <v>144</v>
      </c>
      <c r="D84" s="2">
        <v>12339</v>
      </c>
      <c r="E84" s="2">
        <v>10</v>
      </c>
      <c r="H84" s="3">
        <f t="shared" si="12"/>
        <v>12339</v>
      </c>
      <c r="I84" s="4">
        <f>IF(F84=0,0,H84*100/F84)</f>
        <v>0</v>
      </c>
      <c r="J84" s="55">
        <f>D84*E84</f>
        <v>123390</v>
      </c>
      <c r="K84" s="2">
        <f>F84*G84</f>
        <v>0</v>
      </c>
      <c r="L84" s="3">
        <f>J84-K84</f>
        <v>123390</v>
      </c>
      <c r="M84" s="4"/>
    </row>
    <row r="85" spans="1:13">
      <c r="A85" s="5" t="s">
        <v>136</v>
      </c>
      <c r="B85" s="5" t="s">
        <v>114</v>
      </c>
      <c r="C85" s="2" t="s">
        <v>144</v>
      </c>
      <c r="D85" s="2">
        <v>46190</v>
      </c>
      <c r="E85" s="2">
        <v>8</v>
      </c>
      <c r="H85" s="3">
        <f t="shared" si="12"/>
        <v>46190</v>
      </c>
      <c r="I85" s="4">
        <f>IF(F85=0,0,H85*100/F85)</f>
        <v>0</v>
      </c>
      <c r="J85" s="55">
        <f>D85*E85</f>
        <v>369520</v>
      </c>
      <c r="K85" s="2">
        <f>F85*G85</f>
        <v>0</v>
      </c>
      <c r="L85" s="3">
        <f>J85-K85</f>
        <v>369520</v>
      </c>
      <c r="M85" s="4"/>
    </row>
    <row r="86" spans="1:13">
      <c r="A86" s="5" t="s">
        <v>139</v>
      </c>
      <c r="B86" s="5" t="s">
        <v>114</v>
      </c>
      <c r="C86" s="2" t="s">
        <v>137</v>
      </c>
      <c r="D86" s="2">
        <v>9500</v>
      </c>
      <c r="E86" s="2">
        <v>6</v>
      </c>
      <c r="H86" s="3">
        <f t="shared" si="12"/>
        <v>9500</v>
      </c>
      <c r="J86" s="55"/>
      <c r="L86" s="3"/>
      <c r="M86" s="4"/>
    </row>
    <row r="87" spans="1:13">
      <c r="A87" s="5" t="s">
        <v>140</v>
      </c>
      <c r="B87" s="5" t="s">
        <v>114</v>
      </c>
      <c r="C87" s="2" t="s">
        <v>137</v>
      </c>
      <c r="D87" s="2">
        <v>28011</v>
      </c>
      <c r="E87" s="2">
        <v>8</v>
      </c>
      <c r="H87" s="3">
        <f t="shared" si="12"/>
        <v>28011</v>
      </c>
      <c r="J87" s="55"/>
      <c r="L87" s="3"/>
      <c r="M87" s="4"/>
    </row>
    <row r="88" spans="1:13">
      <c r="A88" s="5" t="s">
        <v>141</v>
      </c>
      <c r="B88" s="5" t="s">
        <v>7</v>
      </c>
      <c r="C88" s="2" t="s">
        <v>137</v>
      </c>
      <c r="D88" s="2">
        <v>19084</v>
      </c>
      <c r="E88" s="2">
        <v>6</v>
      </c>
      <c r="H88" s="3">
        <f t="shared" si="12"/>
        <v>19084</v>
      </c>
      <c r="J88" s="55"/>
      <c r="L88" s="3"/>
      <c r="M88" s="4"/>
    </row>
    <row r="89" spans="1:13">
      <c r="J89" s="55"/>
      <c r="L89" s="3"/>
      <c r="M89" s="4"/>
    </row>
    <row r="91" spans="1:13">
      <c r="A91" s="8" t="s">
        <v>133</v>
      </c>
      <c r="B91" s="9" t="s">
        <v>4</v>
      </c>
      <c r="C91" s="9" t="s">
        <v>1</v>
      </c>
      <c r="D91" s="52">
        <f>D81</f>
        <v>2009</v>
      </c>
      <c r="E91" s="10" t="s">
        <v>2</v>
      </c>
      <c r="F91" s="52">
        <f>F81</f>
        <v>2008</v>
      </c>
      <c r="G91" s="10" t="s">
        <v>2</v>
      </c>
      <c r="H91" s="11" t="s">
        <v>103</v>
      </c>
    </row>
    <row r="92" spans="1:13">
      <c r="A92" s="5" t="s">
        <v>126</v>
      </c>
      <c r="B92" s="5" t="s">
        <v>6</v>
      </c>
      <c r="C92" s="2" t="s">
        <v>43</v>
      </c>
      <c r="D92" s="2">
        <v>28079</v>
      </c>
      <c r="E92" s="2">
        <v>15</v>
      </c>
      <c r="F92" s="2">
        <v>14382</v>
      </c>
      <c r="G92" s="2">
        <v>41</v>
      </c>
      <c r="H92" s="3">
        <f t="shared" ref="H92:H97" si="13">D92-F92</f>
        <v>13697</v>
      </c>
      <c r="I92" s="4">
        <f t="shared" ref="I92:I97" si="14">IF(F92=0,0,H92*100/F92)</f>
        <v>95.237101932971768</v>
      </c>
      <c r="J92" s="55">
        <f t="shared" ref="J92:J97" si="15">D92*E92</f>
        <v>421185</v>
      </c>
      <c r="K92" s="2">
        <f t="shared" ref="K92:K97" si="16">F92*G92</f>
        <v>589662</v>
      </c>
      <c r="L92" s="3">
        <f t="shared" ref="L92:L97" si="17">J92-K92</f>
        <v>-168477</v>
      </c>
      <c r="M92" s="4">
        <f t="shared" ref="M92:M97" si="18">IF(J92=0,0,L92*100/K92)</f>
        <v>-28.571791975742034</v>
      </c>
    </row>
    <row r="93" spans="1:13">
      <c r="A93" s="5" t="s">
        <v>11</v>
      </c>
      <c r="B93" s="5" t="s">
        <v>10</v>
      </c>
      <c r="C93" s="2" t="s">
        <v>144</v>
      </c>
      <c r="D93" s="2">
        <v>21458</v>
      </c>
      <c r="E93" s="2">
        <v>4</v>
      </c>
      <c r="F93" s="2">
        <v>26961</v>
      </c>
      <c r="G93" s="2">
        <v>13</v>
      </c>
      <c r="H93" s="3">
        <f t="shared" si="13"/>
        <v>-5503</v>
      </c>
      <c r="I93" s="4">
        <f t="shared" si="14"/>
        <v>-20.410963985015393</v>
      </c>
      <c r="J93" s="55">
        <f t="shared" si="15"/>
        <v>85832</v>
      </c>
      <c r="K93" s="2">
        <f t="shared" si="16"/>
        <v>350493</v>
      </c>
      <c r="L93" s="3">
        <f t="shared" si="17"/>
        <v>-264661</v>
      </c>
      <c r="M93" s="4">
        <f t="shared" si="18"/>
        <v>-75.5110658415432</v>
      </c>
    </row>
    <row r="94" spans="1:13">
      <c r="A94" s="5" t="s">
        <v>122</v>
      </c>
      <c r="B94" s="5" t="s">
        <v>6</v>
      </c>
      <c r="C94" s="2" t="s">
        <v>144</v>
      </c>
      <c r="D94" s="2">
        <v>28079</v>
      </c>
      <c r="E94" s="2">
        <v>15</v>
      </c>
      <c r="F94" s="2">
        <v>32908</v>
      </c>
      <c r="G94" s="2">
        <v>47</v>
      </c>
      <c r="H94" s="3">
        <f t="shared" si="13"/>
        <v>-4829</v>
      </c>
      <c r="I94" s="4">
        <f t="shared" si="14"/>
        <v>-14.674243345083262</v>
      </c>
      <c r="J94" s="55">
        <f t="shared" si="15"/>
        <v>421185</v>
      </c>
      <c r="K94" s="2">
        <f t="shared" si="16"/>
        <v>1546676</v>
      </c>
      <c r="L94" s="3">
        <f t="shared" si="17"/>
        <v>-1125491</v>
      </c>
      <c r="M94" s="4">
        <f t="shared" si="18"/>
        <v>-72.768375535664873</v>
      </c>
    </row>
    <row r="95" spans="1:13">
      <c r="A95" s="5" t="s">
        <v>108</v>
      </c>
      <c r="B95" s="5" t="s">
        <v>7</v>
      </c>
      <c r="C95" s="2" t="s">
        <v>144</v>
      </c>
      <c r="D95" s="2">
        <v>16039</v>
      </c>
      <c r="E95" s="2">
        <v>1</v>
      </c>
      <c r="F95" s="2">
        <v>15518</v>
      </c>
      <c r="G95" s="2">
        <v>5</v>
      </c>
      <c r="H95" s="3">
        <f t="shared" si="13"/>
        <v>521</v>
      </c>
      <c r="I95" s="4">
        <f t="shared" si="14"/>
        <v>3.3573914164196417</v>
      </c>
      <c r="J95" s="55">
        <f t="shared" si="15"/>
        <v>16039</v>
      </c>
      <c r="K95" s="2">
        <f t="shared" si="16"/>
        <v>77590</v>
      </c>
      <c r="L95" s="3">
        <f t="shared" si="17"/>
        <v>-61551</v>
      </c>
      <c r="M95" s="4">
        <f t="shared" si="18"/>
        <v>-79.328521716716068</v>
      </c>
    </row>
    <row r="96" spans="1:13">
      <c r="A96" s="5" t="s">
        <v>33</v>
      </c>
      <c r="B96" s="5" t="s">
        <v>7</v>
      </c>
      <c r="C96" s="2" t="s">
        <v>31</v>
      </c>
      <c r="F96" s="2">
        <v>11606</v>
      </c>
      <c r="G96" s="2">
        <v>12</v>
      </c>
      <c r="H96" s="3">
        <f t="shared" si="13"/>
        <v>-11606</v>
      </c>
      <c r="I96" s="4">
        <f t="shared" si="14"/>
        <v>-100</v>
      </c>
      <c r="J96" s="55">
        <f t="shared" si="15"/>
        <v>0</v>
      </c>
      <c r="K96" s="2">
        <f t="shared" si="16"/>
        <v>139272</v>
      </c>
      <c r="L96" s="3">
        <f t="shared" si="17"/>
        <v>-139272</v>
      </c>
      <c r="M96" s="4">
        <f t="shared" si="18"/>
        <v>0</v>
      </c>
    </row>
    <row r="97" spans="1:13">
      <c r="A97" s="5" t="s">
        <v>34</v>
      </c>
      <c r="B97" s="5" t="s">
        <v>7</v>
      </c>
      <c r="C97" s="2" t="s">
        <v>31</v>
      </c>
      <c r="F97" s="2">
        <v>13531</v>
      </c>
      <c r="G97" s="2">
        <v>9</v>
      </c>
      <c r="H97" s="3">
        <f t="shared" si="13"/>
        <v>-13531</v>
      </c>
      <c r="I97" s="4">
        <f t="shared" si="14"/>
        <v>-100</v>
      </c>
      <c r="J97" s="55">
        <f t="shared" si="15"/>
        <v>0</v>
      </c>
      <c r="K97" s="2">
        <f t="shared" si="16"/>
        <v>121779</v>
      </c>
      <c r="L97" s="3">
        <f t="shared" si="17"/>
        <v>-121779</v>
      </c>
      <c r="M97" s="4">
        <f t="shared" si="18"/>
        <v>0</v>
      </c>
    </row>
    <row r="99" spans="1:13">
      <c r="A99" s="8" t="s">
        <v>143</v>
      </c>
      <c r="B99" s="9" t="s">
        <v>4</v>
      </c>
      <c r="C99" s="9" t="s">
        <v>1</v>
      </c>
      <c r="D99" s="52">
        <f>D91</f>
        <v>2009</v>
      </c>
      <c r="E99" s="10" t="s">
        <v>2</v>
      </c>
      <c r="F99" s="52">
        <f>F91</f>
        <v>2008</v>
      </c>
      <c r="G99" s="10" t="s">
        <v>2</v>
      </c>
      <c r="H99" s="11" t="s">
        <v>103</v>
      </c>
    </row>
    <row r="100" spans="1:13">
      <c r="A100" s="5" t="s">
        <v>60</v>
      </c>
      <c r="B100" s="5" t="s">
        <v>112</v>
      </c>
      <c r="C100" s="2" t="s">
        <v>43</v>
      </c>
      <c r="F100" s="2">
        <v>7107</v>
      </c>
      <c r="G100" s="2">
        <v>51</v>
      </c>
      <c r="H100" s="3">
        <f>D100-F100</f>
        <v>-7107</v>
      </c>
      <c r="I100" s="4">
        <f>IF(F100=0,0,H100*100/F100)</f>
        <v>-100</v>
      </c>
      <c r="J100" s="55">
        <f>D100*E100</f>
        <v>0</v>
      </c>
      <c r="K100" s="2">
        <f>F100*G100</f>
        <v>362457</v>
      </c>
      <c r="L100" s="3">
        <f>J100-K100</f>
        <v>-362457</v>
      </c>
      <c r="M100" s="4">
        <f>IF(J100=0,0,L100*100/K100)</f>
        <v>0</v>
      </c>
    </row>
    <row r="101" spans="1:13">
      <c r="A101" s="5" t="s">
        <v>14</v>
      </c>
      <c r="B101" s="5" t="s">
        <v>7</v>
      </c>
      <c r="C101" s="2" t="s">
        <v>144</v>
      </c>
      <c r="D101" s="2">
        <v>15178</v>
      </c>
      <c r="E101" s="2">
        <v>8</v>
      </c>
      <c r="F101" s="2">
        <v>16065</v>
      </c>
      <c r="G101" s="2">
        <v>8</v>
      </c>
      <c r="H101" s="3">
        <f>D101-F101</f>
        <v>-887</v>
      </c>
      <c r="I101" s="4">
        <f>IF(F101=0,0,H101*100/F101)</f>
        <v>-5.5213196389666974</v>
      </c>
      <c r="J101" s="55">
        <f>D101*E101</f>
        <v>121424</v>
      </c>
      <c r="K101" s="2">
        <f>F101*G101</f>
        <v>128520</v>
      </c>
      <c r="L101" s="3">
        <f>J101-K101</f>
        <v>-7096</v>
      </c>
      <c r="M101" s="4">
        <f>IF(J101=0,0,L101*100/K101)</f>
        <v>-5.5213196389666974</v>
      </c>
    </row>
  </sheetData>
  <autoFilter ref="A3:M71">
    <filterColumn colId="1"/>
  </autoFilter>
  <phoneticPr fontId="2" type="noConversion"/>
  <conditionalFormatting sqref="B92:B97 B83:B89 B100:B101 B4:B70">
    <cfRule type="cellIs" dxfId="82" priority="16" stopIfTrue="1" operator="equal">
      <formula>"Kvinne"</formula>
    </cfRule>
    <cfRule type="cellIs" dxfId="81" priority="17" stopIfTrue="1" operator="equal">
      <formula>"Familie"</formula>
    </cfRule>
    <cfRule type="cellIs" dxfId="80" priority="18" stopIfTrue="1" operator="equal">
      <formula>"Aktualitet"</formula>
    </cfRule>
  </conditionalFormatting>
  <pageMargins left="0.55000000000000004" right="0.23622047244094491" top="0.98425196850393704" bottom="0.62992125984251968" header="0.51181102362204722" footer="0.35433070866141736"/>
  <pageSetup paperSize="9" scale="80" fitToHeight="6" orientation="landscape" r:id="rId1"/>
  <headerFooter alignWithMargins="0">
    <oddHeader>&amp;R&amp;F</oddHeader>
  </headerFooter>
  <rowBreaks count="2" manualBreakCount="2">
    <brk id="39" max="12" man="1"/>
    <brk id="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D3" sqref="D3"/>
    </sheetView>
  </sheetViews>
  <sheetFormatPr baseColWidth="10" defaultRowHeight="12.75"/>
  <cols>
    <col min="2" max="2" width="12.85546875" style="24" customWidth="1"/>
    <col min="4" max="4" width="12.85546875" style="24" bestFit="1" customWidth="1"/>
  </cols>
  <sheetData>
    <row r="1" spans="1:6" ht="18">
      <c r="A1" s="1" t="s">
        <v>99</v>
      </c>
    </row>
    <row r="2" spans="1:6" ht="18" customHeight="1">
      <c r="A2" s="26" t="s">
        <v>6</v>
      </c>
      <c r="B2" s="28" t="s">
        <v>116</v>
      </c>
      <c r="C2" s="29" t="s">
        <v>117</v>
      </c>
      <c r="D2" s="28" t="s">
        <v>130</v>
      </c>
      <c r="E2" s="29" t="s">
        <v>129</v>
      </c>
      <c r="F2" s="29" t="s">
        <v>93</v>
      </c>
    </row>
    <row r="3" spans="1:6" ht="18" customHeight="1">
      <c r="A3" s="32" t="s">
        <v>144</v>
      </c>
      <c r="B3" s="33">
        <f>ROUND(GETPIVOTDATA("Opplag 2008",Familie!$A$4,"Utgiver","AM"),-3)</f>
        <v>4024000</v>
      </c>
      <c r="C3" s="34">
        <f>B3/$B$6</f>
        <v>0.17500978558691777</v>
      </c>
      <c r="D3" s="33">
        <f>ROUND(GETPIVOTDATA("Opplag 2009",Familie!$A$4,"Utgiver","AM"),-3)</f>
        <v>3795000</v>
      </c>
      <c r="E3" s="34">
        <f>D3/$D$6</f>
        <v>0.17324811686829492</v>
      </c>
      <c r="F3" s="39">
        <f>IF(B3=0,0,(D3-B3)/B3)</f>
        <v>-5.6908548707753477E-2</v>
      </c>
    </row>
    <row r="4" spans="1:6" ht="18" customHeight="1">
      <c r="A4" s="32" t="s">
        <v>43</v>
      </c>
      <c r="B4" s="33">
        <f>ROUND(GETPIVOTDATA("Opplag 2008",Familie!$A$4,"Utgiver","HM"),-3)</f>
        <v>18970000</v>
      </c>
      <c r="C4" s="34">
        <f>B4/$B$6</f>
        <v>0.82503370591049452</v>
      </c>
      <c r="D4" s="33">
        <f>ROUND(GETPIVOTDATA("Opplag 2009",Familie!$A$4,"Utgiver","HM"),-3)</f>
        <v>18110000</v>
      </c>
      <c r="E4" s="34">
        <f>D4/$D$6</f>
        <v>0.82675188313170511</v>
      </c>
      <c r="F4" s="39">
        <f>IF(B4=0,0,(D4-B4)/B4)</f>
        <v>-4.533473906167633E-2</v>
      </c>
    </row>
    <row r="5" spans="1:6" ht="18" customHeight="1">
      <c r="A5" s="32" t="s">
        <v>86</v>
      </c>
      <c r="B5" s="33"/>
      <c r="C5" s="34">
        <f>B5/$B$6</f>
        <v>0</v>
      </c>
      <c r="D5" s="33"/>
      <c r="E5" s="34">
        <f>D5/$D$6</f>
        <v>0</v>
      </c>
      <c r="F5" s="39">
        <f>IF(B5=0,0,(D5-B5)/B5)</f>
        <v>0</v>
      </c>
    </row>
    <row r="6" spans="1:6" ht="18" customHeight="1">
      <c r="A6" s="27" t="s">
        <v>76</v>
      </c>
      <c r="B6" s="30">
        <f>ROUND(GETPIVOTDATA("Opplag 2008",Familie!$A$4),-3)</f>
        <v>22993000</v>
      </c>
      <c r="C6" s="31">
        <f>B6/$B$6</f>
        <v>1</v>
      </c>
      <c r="D6" s="30">
        <f>ROUND(GETPIVOTDATA("Opplag 2009",Familie!$A$4),-3)</f>
        <v>21905000</v>
      </c>
      <c r="E6" s="31">
        <f>D6/$D$6</f>
        <v>1</v>
      </c>
      <c r="F6" s="40">
        <f>IF(B6=0,0,(D6-B6)/B6)</f>
        <v>-4.7318749184534423E-2</v>
      </c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1"/>
  <headerFooter alignWithMargins="0">
    <oddHeader>&amp;R&amp;F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pane ySplit="4" topLeftCell="A5" activePane="bottomLeft" state="frozen"/>
      <selection pane="bottomLeft" activeCell="C7" sqref="C7"/>
    </sheetView>
  </sheetViews>
  <sheetFormatPr baseColWidth="10" defaultRowHeight="12.75"/>
  <cols>
    <col min="1" max="1" width="9.85546875" customWidth="1"/>
    <col min="2" max="2" width="13.140625" style="24" customWidth="1"/>
    <col min="3" max="3" width="12.7109375" customWidth="1"/>
    <col min="4" max="4" width="10.85546875" style="24" customWidth="1"/>
    <col min="5" max="5" width="12.7109375" style="16" customWidth="1"/>
    <col min="6" max="7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6" ht="18">
      <c r="A1" s="1" t="s">
        <v>99</v>
      </c>
    </row>
    <row r="2" spans="1:6">
      <c r="A2" s="18" t="s">
        <v>4</v>
      </c>
      <c r="B2" s="17" t="s">
        <v>6</v>
      </c>
    </row>
    <row r="4" spans="1:6">
      <c r="A4" s="21" t="s">
        <v>1</v>
      </c>
      <c r="B4" s="21" t="s">
        <v>0</v>
      </c>
      <c r="C4" s="23" t="s">
        <v>116</v>
      </c>
      <c r="D4" s="23" t="s">
        <v>117</v>
      </c>
      <c r="E4" s="23" t="s">
        <v>130</v>
      </c>
      <c r="F4" s="23" t="s">
        <v>129</v>
      </c>
    </row>
    <row r="5" spans="1:6" ht="15">
      <c r="A5" s="61" t="s">
        <v>43</v>
      </c>
      <c r="B5" s="61"/>
      <c r="C5" s="58">
        <v>18969730</v>
      </c>
      <c r="D5" s="59">
        <v>0.82501184476404887</v>
      </c>
      <c r="E5" s="58">
        <v>18109973</v>
      </c>
      <c r="F5" s="59">
        <v>0.82675521741069646</v>
      </c>
    </row>
    <row r="6" spans="1:6" ht="15" customHeight="1">
      <c r="A6" s="22"/>
      <c r="B6" s="22" t="s">
        <v>50</v>
      </c>
      <c r="C6" s="19">
        <v>3089034</v>
      </c>
      <c r="D6" s="20">
        <v>0.13434506652856257</v>
      </c>
      <c r="E6" s="19">
        <v>2897648</v>
      </c>
      <c r="F6" s="20">
        <v>0.13228322329468242</v>
      </c>
    </row>
    <row r="7" spans="1:6">
      <c r="A7" s="22"/>
      <c r="B7" s="22" t="s">
        <v>55</v>
      </c>
      <c r="C7" s="19">
        <v>10084672</v>
      </c>
      <c r="D7" s="20">
        <v>0.43859210703369794</v>
      </c>
      <c r="E7" s="19">
        <v>9787934</v>
      </c>
      <c r="F7" s="20">
        <v>0.44683807657645586</v>
      </c>
    </row>
    <row r="8" spans="1:6">
      <c r="A8" s="22"/>
      <c r="B8" s="22" t="s">
        <v>61</v>
      </c>
      <c r="C8" s="19">
        <v>5796024</v>
      </c>
      <c r="D8" s="20">
        <v>0.25207467120178839</v>
      </c>
      <c r="E8" s="19">
        <v>5424391</v>
      </c>
      <c r="F8" s="20">
        <v>0.24763391753955818</v>
      </c>
    </row>
    <row r="9" spans="1:6" ht="15">
      <c r="A9" s="61" t="s">
        <v>144</v>
      </c>
      <c r="B9" s="61"/>
      <c r="C9" s="58">
        <v>4023552</v>
      </c>
      <c r="D9" s="59">
        <v>0.1749881552359511</v>
      </c>
      <c r="E9" s="58">
        <v>3794906</v>
      </c>
      <c r="F9" s="59">
        <v>0.17324478258930351</v>
      </c>
    </row>
    <row r="10" spans="1:6" ht="15" customHeight="1">
      <c r="A10" s="22"/>
      <c r="B10" s="22" t="s">
        <v>5</v>
      </c>
      <c r="C10" s="19">
        <v>4023552</v>
      </c>
      <c r="D10" s="20">
        <v>0.1749881552359511</v>
      </c>
      <c r="E10" s="19">
        <v>3794906</v>
      </c>
      <c r="F10" s="20">
        <v>0.17324478258930351</v>
      </c>
    </row>
    <row r="11" spans="1:6" ht="15">
      <c r="A11" s="60" t="s">
        <v>84</v>
      </c>
      <c r="B11" s="61"/>
      <c r="C11" s="58">
        <v>22993282</v>
      </c>
      <c r="D11" s="59">
        <v>1</v>
      </c>
      <c r="E11" s="58">
        <v>21904879</v>
      </c>
      <c r="F11" s="59">
        <v>1</v>
      </c>
    </row>
    <row r="12" spans="1:6">
      <c r="B12"/>
      <c r="D12"/>
      <c r="E12"/>
    </row>
    <row r="13" spans="1:6">
      <c r="B13"/>
      <c r="D13"/>
      <c r="E13"/>
    </row>
    <row r="14" spans="1:6" ht="15" customHeight="1">
      <c r="B14"/>
      <c r="D14"/>
    </row>
    <row r="15" spans="1:6" ht="15" customHeight="1">
      <c r="B15"/>
      <c r="D15"/>
    </row>
    <row r="16" spans="1:6" ht="15" customHeight="1">
      <c r="B16"/>
      <c r="D16"/>
    </row>
    <row r="17" spans="2:4" ht="15" customHeight="1">
      <c r="B17"/>
      <c r="D17"/>
    </row>
    <row r="18" spans="2:4">
      <c r="B18"/>
      <c r="D18"/>
    </row>
    <row r="19" spans="2:4">
      <c r="B19"/>
      <c r="D19"/>
    </row>
    <row r="20" spans="2:4">
      <c r="B20"/>
      <c r="D20"/>
    </row>
    <row r="21" spans="2:4">
      <c r="B21"/>
      <c r="D21"/>
    </row>
    <row r="22" spans="2:4">
      <c r="B22"/>
      <c r="D22"/>
    </row>
    <row r="23" spans="2:4">
      <c r="B23"/>
      <c r="D23"/>
    </row>
    <row r="24" spans="2:4">
      <c r="B24"/>
      <c r="D24"/>
    </row>
    <row r="25" spans="2:4">
      <c r="B25"/>
      <c r="D25"/>
    </row>
    <row r="26" spans="2:4">
      <c r="B26"/>
      <c r="D26"/>
    </row>
    <row r="27" spans="2:4">
      <c r="B27"/>
      <c r="D27"/>
    </row>
    <row r="28" spans="2:4">
      <c r="B28"/>
      <c r="D28"/>
    </row>
    <row r="29" spans="2:4">
      <c r="B29"/>
      <c r="D29"/>
    </row>
    <row r="30" spans="2:4">
      <c r="B30"/>
      <c r="D30"/>
    </row>
    <row r="31" spans="2:4">
      <c r="B31"/>
      <c r="D31"/>
    </row>
    <row r="32" spans="2:4">
      <c r="B32"/>
      <c r="D32"/>
    </row>
    <row r="33" spans="2:4">
      <c r="B33"/>
      <c r="D33"/>
    </row>
    <row r="34" spans="2:4">
      <c r="B34"/>
      <c r="D34"/>
    </row>
    <row r="35" spans="2:4">
      <c r="B35"/>
      <c r="D35"/>
    </row>
    <row r="36" spans="2:4">
      <c r="B36"/>
      <c r="D36"/>
    </row>
    <row r="37" spans="2:4">
      <c r="B37"/>
      <c r="D37"/>
    </row>
    <row r="38" spans="2:4">
      <c r="B38"/>
      <c r="D38"/>
    </row>
    <row r="39" spans="2:4">
      <c r="B39"/>
      <c r="D39"/>
    </row>
    <row r="40" spans="2:4">
      <c r="B40"/>
      <c r="D40"/>
    </row>
    <row r="41" spans="2:4">
      <c r="B41"/>
      <c r="D41"/>
    </row>
    <row r="42" spans="2:4">
      <c r="B42"/>
      <c r="D42"/>
    </row>
    <row r="43" spans="2:4">
      <c r="B43"/>
      <c r="D43"/>
    </row>
    <row r="44" spans="2:4">
      <c r="B44"/>
      <c r="D44"/>
    </row>
    <row r="45" spans="2:4">
      <c r="B45"/>
      <c r="D45"/>
    </row>
    <row r="46" spans="2:4">
      <c r="B46"/>
      <c r="D46"/>
    </row>
    <row r="47" spans="2:4">
      <c r="B47"/>
      <c r="D47"/>
    </row>
    <row r="48" spans="2:4">
      <c r="B48"/>
      <c r="D48"/>
    </row>
    <row r="49" spans="2:4">
      <c r="B49"/>
      <c r="D49"/>
    </row>
    <row r="50" spans="2:4">
      <c r="B50"/>
      <c r="D50"/>
    </row>
    <row r="51" spans="2:4">
      <c r="B51"/>
      <c r="D51"/>
    </row>
    <row r="52" spans="2:4">
      <c r="B52"/>
      <c r="D52"/>
    </row>
    <row r="53" spans="2:4">
      <c r="B53"/>
      <c r="D53"/>
    </row>
    <row r="54" spans="2:4">
      <c r="B54"/>
      <c r="D54"/>
    </row>
    <row r="55" spans="2:4">
      <c r="B55"/>
      <c r="D55"/>
    </row>
    <row r="56" spans="2:4">
      <c r="B56"/>
      <c r="D56"/>
    </row>
    <row r="57" spans="2:4">
      <c r="B57"/>
      <c r="D57"/>
    </row>
    <row r="58" spans="2:4">
      <c r="B58"/>
      <c r="D58"/>
    </row>
    <row r="59" spans="2:4">
      <c r="B59"/>
      <c r="D59"/>
    </row>
    <row r="60" spans="2:4">
      <c r="B60"/>
      <c r="D60"/>
    </row>
    <row r="61" spans="2:4">
      <c r="B61"/>
      <c r="D61"/>
    </row>
    <row r="62" spans="2:4">
      <c r="B62"/>
      <c r="D62"/>
    </row>
    <row r="63" spans="2:4">
      <c r="B63"/>
      <c r="D63"/>
    </row>
    <row r="64" spans="2:4">
      <c r="B64"/>
      <c r="D64"/>
    </row>
    <row r="65" spans="2:4">
      <c r="B65"/>
      <c r="D65"/>
    </row>
    <row r="66" spans="2:4">
      <c r="B66"/>
      <c r="D66"/>
    </row>
    <row r="67" spans="2:4">
      <c r="B67"/>
      <c r="D67"/>
    </row>
    <row r="68" spans="2:4">
      <c r="B68"/>
      <c r="D68"/>
    </row>
    <row r="69" spans="2:4">
      <c r="B69"/>
      <c r="D69"/>
    </row>
    <row r="70" spans="2:4">
      <c r="B70"/>
      <c r="D70"/>
    </row>
    <row r="71" spans="2:4">
      <c r="B71"/>
      <c r="D71"/>
    </row>
    <row r="72" spans="2:4">
      <c r="B72"/>
      <c r="D72"/>
    </row>
    <row r="73" spans="2:4">
      <c r="B73"/>
      <c r="D73"/>
    </row>
    <row r="74" spans="2:4">
      <c r="B74"/>
      <c r="D74"/>
    </row>
    <row r="75" spans="2:4">
      <c r="B75"/>
      <c r="D75"/>
    </row>
    <row r="76" spans="2:4">
      <c r="B76"/>
      <c r="D76"/>
    </row>
    <row r="77" spans="2:4">
      <c r="B77"/>
      <c r="D77"/>
    </row>
    <row r="78" spans="2:4">
      <c r="B78"/>
      <c r="D78"/>
    </row>
    <row r="79" spans="2:4">
      <c r="B79"/>
      <c r="D79"/>
    </row>
    <row r="80" spans="2:4">
      <c r="B80"/>
      <c r="D80"/>
    </row>
    <row r="81" spans="2:4">
      <c r="B81"/>
      <c r="D81"/>
    </row>
    <row r="82" spans="2:4">
      <c r="B82"/>
      <c r="D82"/>
    </row>
    <row r="83" spans="2:4">
      <c r="B83"/>
      <c r="D83"/>
    </row>
    <row r="84" spans="2:4">
      <c r="B84"/>
      <c r="D84"/>
    </row>
    <row r="85" spans="2:4">
      <c r="B85"/>
      <c r="D85"/>
    </row>
    <row r="86" spans="2:4">
      <c r="B86"/>
      <c r="D86"/>
    </row>
    <row r="87" spans="2:4">
      <c r="B87"/>
      <c r="D87"/>
    </row>
    <row r="88" spans="2:4">
      <c r="B88"/>
      <c r="D88"/>
    </row>
    <row r="89" spans="2:4">
      <c r="B89"/>
      <c r="D89"/>
    </row>
    <row r="90" spans="2:4">
      <c r="B90"/>
      <c r="D90"/>
    </row>
    <row r="91" spans="2:4">
      <c r="B91"/>
      <c r="D91"/>
    </row>
    <row r="92" spans="2:4">
      <c r="B92"/>
      <c r="D92"/>
    </row>
    <row r="93" spans="2:4">
      <c r="B93"/>
      <c r="D93"/>
    </row>
    <row r="94" spans="2:4">
      <c r="B94"/>
      <c r="D94"/>
    </row>
    <row r="95" spans="2:4">
      <c r="B95"/>
      <c r="D95"/>
    </row>
    <row r="96" spans="2:4">
      <c r="B96"/>
      <c r="D96"/>
    </row>
    <row r="97" spans="2:4">
      <c r="B97"/>
      <c r="D97"/>
    </row>
    <row r="98" spans="2:4">
      <c r="B98"/>
      <c r="D98"/>
    </row>
    <row r="99" spans="2:4">
      <c r="B99"/>
      <c r="D99"/>
    </row>
    <row r="100" spans="2:4">
      <c r="B100"/>
      <c r="D100"/>
    </row>
    <row r="101" spans="2:4">
      <c r="B101"/>
      <c r="D101"/>
    </row>
    <row r="102" spans="2:4">
      <c r="B102"/>
      <c r="D102"/>
    </row>
    <row r="103" spans="2:4">
      <c r="B103"/>
      <c r="D103"/>
    </row>
    <row r="104" spans="2:4">
      <c r="B104"/>
      <c r="D104"/>
    </row>
    <row r="105" spans="2:4">
      <c r="B105"/>
      <c r="D105"/>
    </row>
    <row r="106" spans="2:4">
      <c r="B106"/>
      <c r="D106"/>
    </row>
    <row r="107" spans="2:4">
      <c r="B107"/>
      <c r="D107"/>
    </row>
    <row r="108" spans="2:4">
      <c r="B108"/>
      <c r="D108"/>
    </row>
    <row r="109" spans="2:4">
      <c r="B109"/>
      <c r="D109"/>
    </row>
    <row r="110" spans="2:4">
      <c r="B110"/>
      <c r="D110"/>
    </row>
    <row r="111" spans="2:4">
      <c r="B111"/>
      <c r="D111"/>
    </row>
    <row r="112" spans="2:4">
      <c r="B112"/>
      <c r="D112"/>
    </row>
    <row r="113" spans="2:4">
      <c r="B113"/>
      <c r="D113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5" sqref="C5"/>
    </sheetView>
  </sheetViews>
  <sheetFormatPr baseColWidth="10" defaultRowHeight="12.75"/>
  <cols>
    <col min="2" max="2" width="12.85546875" style="24" customWidth="1"/>
    <col min="4" max="4" width="12.85546875" style="24" bestFit="1" customWidth="1"/>
  </cols>
  <sheetData>
    <row r="1" spans="1:6" ht="18">
      <c r="A1" s="1" t="s">
        <v>100</v>
      </c>
    </row>
    <row r="2" spans="1:6" ht="18" customHeight="1">
      <c r="A2" s="35" t="s">
        <v>10</v>
      </c>
      <c r="B2" s="28" t="s">
        <v>116</v>
      </c>
      <c r="C2" s="29" t="s">
        <v>117</v>
      </c>
      <c r="D2" s="28" t="s">
        <v>130</v>
      </c>
      <c r="E2" s="29" t="s">
        <v>129</v>
      </c>
      <c r="F2" s="29" t="s">
        <v>93</v>
      </c>
    </row>
    <row r="3" spans="1:6" ht="18" customHeight="1">
      <c r="A3" s="36" t="s">
        <v>144</v>
      </c>
      <c r="B3" s="45">
        <f>ROUND(GETPIVOTDATA("Opplag 2008",Kvinne!$A$4,"Utgiver","AM"),-3)</f>
        <v>4511000</v>
      </c>
      <c r="C3" s="34">
        <f>B3/$B$7</f>
        <v>0.5239256678281069</v>
      </c>
      <c r="D3" s="45">
        <f>ROUND(GETPIVOTDATA("Opplag 2009",Kvinne!$A$4,"Utgiver","AM"),-3)</f>
        <v>4331000</v>
      </c>
      <c r="E3" s="34">
        <f>D3/$D$7</f>
        <v>0.4970733386893148</v>
      </c>
      <c r="F3" s="39">
        <f>IF(B3=0,0,(D3-B3)/B3)</f>
        <v>-3.990246065174019E-2</v>
      </c>
    </row>
    <row r="4" spans="1:6" ht="18" customHeight="1">
      <c r="A4" s="36" t="s">
        <v>43</v>
      </c>
      <c r="B4" s="45">
        <f>ROUND(GETPIVOTDATA("Opplag 2008",Kvinne!$A$4,"Utgiver","HM"),-3)</f>
        <v>2878000</v>
      </c>
      <c r="C4" s="34">
        <f>B4/$B$7</f>
        <v>0.33426248548199766</v>
      </c>
      <c r="D4" s="45">
        <f>ROUND(GETPIVOTDATA("Opplag 2009",Kvinne!$A$4,"Utgiver","HM"),-3)</f>
        <v>2952000</v>
      </c>
      <c r="E4" s="34">
        <f>D4/$D$7</f>
        <v>0.33880408584873178</v>
      </c>
      <c r="F4" s="39">
        <f>IF(B4=0,0,(D4-B4)/B4)</f>
        <v>2.571230020847811E-2</v>
      </c>
    </row>
    <row r="5" spans="1:6" ht="18" customHeight="1">
      <c r="A5" s="36" t="s">
        <v>18</v>
      </c>
      <c r="B5" s="45">
        <f>ROUND(GETPIVOTDATA("Opplag 2008",Kvinne!$A$4,"Utgiver","BM"),-3)</f>
        <v>758000</v>
      </c>
      <c r="C5" s="34">
        <f t="shared" ref="C5:C6" si="0">B5/$B$7</f>
        <v>8.8037166085946569E-2</v>
      </c>
      <c r="D5" s="45">
        <f>ROUND(GETPIVOTDATA("Opplag 2009",Kvinne!$A$4,"Utgiver","BM"),-3)</f>
        <v>817000</v>
      </c>
      <c r="E5" s="34">
        <f t="shared" ref="E5:E6" si="1">D5/$D$7</f>
        <v>9.3767932973717438E-2</v>
      </c>
      <c r="F5" s="39">
        <f t="shared" ref="F5:F6" si="2">IF(B5=0,0,(D5-B5)/B5)</f>
        <v>7.7836411609498682E-2</v>
      </c>
    </row>
    <row r="6" spans="1:6" ht="18" customHeight="1">
      <c r="A6" s="36" t="s">
        <v>21</v>
      </c>
      <c r="B6" s="45">
        <f>ROUND(GETPIVOTDATA("Opplag 2008",Kvinne!$A$4,"Utgiver","BPI"),-3)</f>
        <v>464000</v>
      </c>
      <c r="C6" s="34">
        <f t="shared" si="0"/>
        <v>5.389082462253194E-2</v>
      </c>
      <c r="D6" s="45">
        <f>ROUND(GETPIVOTDATA("Opplag 2009",Kvinne!$A$4,"Utgiver","BPI"),-3)</f>
        <v>612000</v>
      </c>
      <c r="E6" s="34">
        <f t="shared" si="1"/>
        <v>7.0239871456444392E-2</v>
      </c>
      <c r="F6" s="39">
        <f t="shared" si="2"/>
        <v>0.31896551724137934</v>
      </c>
    </row>
    <row r="7" spans="1:6" ht="18" customHeight="1">
      <c r="A7" s="37" t="s">
        <v>76</v>
      </c>
      <c r="B7" s="30">
        <f>ROUND(GETPIVOTDATA("Opplag 2008",Kvinne!$A$4),-3)</f>
        <v>8610000</v>
      </c>
      <c r="C7" s="31">
        <f>B7/$B$7</f>
        <v>1</v>
      </c>
      <c r="D7" s="30">
        <f>ROUND(GETPIVOTDATA("Opplag 2009",Kvinne!$A$4),-3)</f>
        <v>8713000</v>
      </c>
      <c r="E7" s="31">
        <f>D7/$D$7</f>
        <v>1</v>
      </c>
      <c r="F7" s="40">
        <f>IF(B7=0,0,(D7-B7)/B7)</f>
        <v>1.1962833914053426E-2</v>
      </c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1"/>
  <headerFooter alignWithMargins="0">
    <oddHeader>&amp;R&amp;F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pane ySplit="4" topLeftCell="A5" activePane="bottomLeft" state="frozen"/>
      <selection pane="bottomLeft" activeCell="C23" sqref="C23"/>
    </sheetView>
  </sheetViews>
  <sheetFormatPr baseColWidth="10" defaultRowHeight="12.75"/>
  <cols>
    <col min="1" max="1" width="9.85546875" customWidth="1"/>
    <col min="2" max="2" width="16.5703125" style="24" customWidth="1"/>
    <col min="3" max="3" width="13.28515625" customWidth="1"/>
    <col min="4" max="4" width="10.85546875" style="24" customWidth="1"/>
    <col min="5" max="5" width="12.140625" style="16" customWidth="1"/>
    <col min="6" max="6" width="10.85546875" style="53" customWidth="1"/>
    <col min="7" max="7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6" ht="18">
      <c r="A1" s="1" t="s">
        <v>100</v>
      </c>
    </row>
    <row r="2" spans="1:6">
      <c r="A2" s="18" t="s">
        <v>4</v>
      </c>
      <c r="B2" s="17" t="s">
        <v>10</v>
      </c>
    </row>
    <row r="4" spans="1:6">
      <c r="A4" s="21" t="s">
        <v>1</v>
      </c>
      <c r="B4" s="21" t="s">
        <v>0</v>
      </c>
      <c r="C4" s="66" t="s">
        <v>116</v>
      </c>
      <c r="D4" s="23" t="s">
        <v>117</v>
      </c>
      <c r="E4" s="23" t="s">
        <v>130</v>
      </c>
      <c r="F4" s="23" t="s">
        <v>129</v>
      </c>
    </row>
    <row r="5" spans="1:6" ht="15">
      <c r="A5" s="61" t="s">
        <v>18</v>
      </c>
      <c r="B5" s="61"/>
      <c r="C5" s="58">
        <v>757512</v>
      </c>
      <c r="D5" s="59">
        <v>8.7975419766759086E-2</v>
      </c>
      <c r="E5" s="58">
        <v>816684</v>
      </c>
      <c r="F5" s="59">
        <v>9.3733494168943957E-2</v>
      </c>
    </row>
    <row r="6" spans="1:6" ht="15" customHeight="1">
      <c r="A6" s="22"/>
      <c r="B6" s="22" t="s">
        <v>19</v>
      </c>
      <c r="C6" s="19">
        <v>378696</v>
      </c>
      <c r="D6" s="20">
        <v>4.3980741643686962E-2</v>
      </c>
      <c r="E6" s="19">
        <v>371988</v>
      </c>
      <c r="F6" s="20">
        <v>4.2694279585393034E-2</v>
      </c>
    </row>
    <row r="7" spans="1:6" ht="15" customHeight="1">
      <c r="A7" s="22"/>
      <c r="B7" s="22" t="s">
        <v>94</v>
      </c>
      <c r="C7" s="19">
        <v>378816</v>
      </c>
      <c r="D7" s="20">
        <v>4.3994678123072117E-2</v>
      </c>
      <c r="E7" s="19">
        <v>444696</v>
      </c>
      <c r="F7" s="20">
        <v>5.1039214583550922E-2</v>
      </c>
    </row>
    <row r="8" spans="1:6" ht="15">
      <c r="A8" s="61" t="s">
        <v>21</v>
      </c>
      <c r="B8" s="61"/>
      <c r="C8" s="58">
        <v>464448</v>
      </c>
      <c r="D8" s="59">
        <v>5.393974981232208E-2</v>
      </c>
      <c r="E8" s="58">
        <v>612480</v>
      </c>
      <c r="F8" s="59">
        <v>7.0296333108760295E-2</v>
      </c>
    </row>
    <row r="9" spans="1:6" ht="15" customHeight="1">
      <c r="A9" s="22"/>
      <c r="B9" s="22" t="s">
        <v>29</v>
      </c>
      <c r="C9" s="19">
        <v>464448</v>
      </c>
      <c r="D9" s="20">
        <v>5.393974981232208E-2</v>
      </c>
      <c r="E9" s="19">
        <v>612480</v>
      </c>
      <c r="F9" s="20">
        <v>7.0296333108760295E-2</v>
      </c>
    </row>
    <row r="10" spans="1:6" ht="15">
      <c r="A10" s="61" t="s">
        <v>43</v>
      </c>
      <c r="B10" s="61"/>
      <c r="C10" s="58">
        <v>2877988</v>
      </c>
      <c r="D10" s="59">
        <v>0.33424183693947479</v>
      </c>
      <c r="E10" s="58">
        <v>2952266</v>
      </c>
      <c r="F10" s="59">
        <v>0.33884122609990097</v>
      </c>
    </row>
    <row r="11" spans="1:6">
      <c r="A11" s="22"/>
      <c r="B11" s="22" t="s">
        <v>47</v>
      </c>
      <c r="C11" s="19">
        <v>298080</v>
      </c>
      <c r="D11" s="20">
        <v>3.4618214792736676E-2</v>
      </c>
      <c r="E11" s="19">
        <v>250950</v>
      </c>
      <c r="F11" s="20">
        <v>2.8802352392965316E-2</v>
      </c>
    </row>
    <row r="12" spans="1:6">
      <c r="A12" s="22"/>
      <c r="B12" s="22" t="s">
        <v>49</v>
      </c>
      <c r="C12" s="19">
        <v>736560</v>
      </c>
      <c r="D12" s="20">
        <v>8.5542110466110197E-2</v>
      </c>
      <c r="E12" s="19">
        <v>765378</v>
      </c>
      <c r="F12" s="20">
        <v>8.7844936719756961E-2</v>
      </c>
    </row>
    <row r="13" spans="1:6" ht="15" customHeight="1">
      <c r="A13" s="22"/>
      <c r="B13" s="22" t="s">
        <v>40</v>
      </c>
      <c r="C13" s="19">
        <v>380808</v>
      </c>
      <c r="D13" s="20">
        <v>4.422602368086577E-2</v>
      </c>
      <c r="E13" s="19">
        <v>414168</v>
      </c>
      <c r="F13" s="20">
        <v>4.7535416162142498E-2</v>
      </c>
    </row>
    <row r="14" spans="1:6">
      <c r="A14" s="22"/>
      <c r="B14" s="22" t="s">
        <v>58</v>
      </c>
      <c r="C14" s="19">
        <v>1271700</v>
      </c>
      <c r="D14" s="20">
        <v>0.14769184028422985</v>
      </c>
      <c r="E14" s="19">
        <v>1296270</v>
      </c>
      <c r="F14" s="20">
        <v>0.14877714818262264</v>
      </c>
    </row>
    <row r="15" spans="1:6">
      <c r="A15" s="22"/>
      <c r="B15" s="22" t="s">
        <v>142</v>
      </c>
      <c r="C15" s="19">
        <v>190840</v>
      </c>
      <c r="D15" s="20">
        <v>2.2163647715532298E-2</v>
      </c>
      <c r="E15" s="19">
        <v>225500</v>
      </c>
      <c r="F15" s="20">
        <v>2.5881372642413546E-2</v>
      </c>
    </row>
    <row r="16" spans="1:6" ht="15">
      <c r="A16" s="61" t="s">
        <v>144</v>
      </c>
      <c r="B16" s="61"/>
      <c r="C16" s="58">
        <v>4510548</v>
      </c>
      <c r="D16" s="59">
        <v>0.52384299348144403</v>
      </c>
      <c r="E16" s="58">
        <v>4331400</v>
      </c>
      <c r="F16" s="59">
        <v>0.49712894662239476</v>
      </c>
    </row>
    <row r="17" spans="1:6">
      <c r="A17" s="22"/>
      <c r="B17" s="22" t="s">
        <v>9</v>
      </c>
      <c r="C17" s="19">
        <v>330213</v>
      </c>
      <c r="D17" s="20">
        <v>3.8350055560097816E-2</v>
      </c>
      <c r="E17" s="19">
        <v>342348</v>
      </c>
      <c r="F17" s="20">
        <v>3.9292399828758283E-2</v>
      </c>
    </row>
    <row r="18" spans="1:6">
      <c r="A18" s="22"/>
      <c r="B18" s="22" t="s">
        <v>68</v>
      </c>
      <c r="C18" s="19">
        <v>333278</v>
      </c>
      <c r="D18" s="20">
        <v>3.8706016471060437E-2</v>
      </c>
      <c r="E18" s="19">
        <v>224180</v>
      </c>
      <c r="F18" s="20">
        <v>2.5729871924506733E-2</v>
      </c>
    </row>
    <row r="19" spans="1:6">
      <c r="A19" s="22"/>
      <c r="B19" s="22" t="s">
        <v>12</v>
      </c>
      <c r="C19" s="19">
        <v>604061</v>
      </c>
      <c r="D19" s="20">
        <v>7.015403061565792E-2</v>
      </c>
      <c r="E19" s="19">
        <v>426868</v>
      </c>
      <c r="F19" s="20">
        <v>4.8993036705639842E-2</v>
      </c>
    </row>
    <row r="20" spans="1:6">
      <c r="A20" s="22"/>
      <c r="B20" s="22" t="s">
        <v>13</v>
      </c>
      <c r="C20" s="19">
        <v>2263820</v>
      </c>
      <c r="D20" s="20">
        <v>0.26291400634760181</v>
      </c>
      <c r="E20" s="19">
        <v>2256189</v>
      </c>
      <c r="F20" s="20">
        <v>0.25895019184352269</v>
      </c>
    </row>
    <row r="21" spans="1:6">
      <c r="A21" s="22"/>
      <c r="B21" s="22" t="s">
        <v>71</v>
      </c>
      <c r="C21" s="19">
        <v>407496</v>
      </c>
      <c r="D21" s="20">
        <v>4.7325496696125284E-2</v>
      </c>
      <c r="E21" s="19">
        <v>387576</v>
      </c>
      <c r="F21" s="20">
        <v>4.44833653359471E-2</v>
      </c>
    </row>
    <row r="22" spans="1:6">
      <c r="A22" s="22"/>
      <c r="B22" s="22" t="s">
        <v>75</v>
      </c>
      <c r="C22" s="19">
        <v>571680</v>
      </c>
      <c r="D22" s="20">
        <v>6.6393387790900774E-2</v>
      </c>
      <c r="E22" s="19">
        <v>694239</v>
      </c>
      <c r="F22" s="20">
        <v>7.9680080984020116E-2</v>
      </c>
    </row>
    <row r="23" spans="1:6" ht="15">
      <c r="A23" s="60" t="s">
        <v>84</v>
      </c>
      <c r="B23" s="61"/>
      <c r="C23" s="58">
        <v>8610496</v>
      </c>
      <c r="D23" s="59">
        <v>1</v>
      </c>
      <c r="E23" s="58">
        <v>8712830</v>
      </c>
      <c r="F23" s="59">
        <v>1</v>
      </c>
    </row>
    <row r="24" spans="1:6">
      <c r="B24"/>
      <c r="D24"/>
      <c r="E24"/>
    </row>
    <row r="25" spans="1:6">
      <c r="B25"/>
      <c r="D25"/>
    </row>
    <row r="26" spans="1:6">
      <c r="B26"/>
      <c r="D26"/>
    </row>
    <row r="27" spans="1:6">
      <c r="B27"/>
      <c r="D27"/>
    </row>
    <row r="28" spans="1:6">
      <c r="B28"/>
      <c r="D28"/>
    </row>
    <row r="29" spans="1:6">
      <c r="B29"/>
      <c r="D29"/>
    </row>
    <row r="30" spans="1:6">
      <c r="B30"/>
      <c r="D30"/>
    </row>
    <row r="31" spans="1:6">
      <c r="B31"/>
      <c r="D31"/>
    </row>
    <row r="32" spans="1:6">
      <c r="B32"/>
      <c r="D32"/>
    </row>
    <row r="33" spans="2:4">
      <c r="B33"/>
      <c r="D33"/>
    </row>
    <row r="34" spans="2:4">
      <c r="B34"/>
      <c r="D34"/>
    </row>
    <row r="35" spans="2:4">
      <c r="B35"/>
      <c r="D35"/>
    </row>
    <row r="36" spans="2:4">
      <c r="B36"/>
      <c r="D36"/>
    </row>
    <row r="37" spans="2:4">
      <c r="B37"/>
      <c r="D37"/>
    </row>
    <row r="38" spans="2:4">
      <c r="B38"/>
      <c r="D38"/>
    </row>
    <row r="39" spans="2:4">
      <c r="B39"/>
      <c r="D39"/>
    </row>
    <row r="40" spans="2:4">
      <c r="B40"/>
      <c r="D40"/>
    </row>
    <row r="41" spans="2:4">
      <c r="B41"/>
      <c r="D41"/>
    </row>
    <row r="42" spans="2:4">
      <c r="B42"/>
      <c r="D42"/>
    </row>
    <row r="43" spans="2:4">
      <c r="B43"/>
      <c r="D43"/>
    </row>
    <row r="44" spans="2:4">
      <c r="B44"/>
      <c r="D44"/>
    </row>
    <row r="45" spans="2:4">
      <c r="B45"/>
      <c r="D45"/>
    </row>
    <row r="46" spans="2:4">
      <c r="B46"/>
      <c r="D46"/>
    </row>
    <row r="47" spans="2:4">
      <c r="B47"/>
      <c r="D47"/>
    </row>
    <row r="48" spans="2:4">
      <c r="B48"/>
      <c r="D48"/>
    </row>
    <row r="49" spans="2:4">
      <c r="B49"/>
      <c r="D49"/>
    </row>
    <row r="50" spans="2:4">
      <c r="B50"/>
      <c r="D50"/>
    </row>
    <row r="51" spans="2:4">
      <c r="B51"/>
      <c r="D51"/>
    </row>
    <row r="52" spans="2:4">
      <c r="B52"/>
      <c r="D52"/>
    </row>
    <row r="53" spans="2:4">
      <c r="B53"/>
      <c r="D53"/>
    </row>
    <row r="54" spans="2:4">
      <c r="B54"/>
      <c r="D54"/>
    </row>
    <row r="55" spans="2:4">
      <c r="B55"/>
      <c r="D55"/>
    </row>
    <row r="56" spans="2:4">
      <c r="B56"/>
      <c r="D56"/>
    </row>
    <row r="57" spans="2:4">
      <c r="B57"/>
      <c r="D57"/>
    </row>
    <row r="58" spans="2:4">
      <c r="B58"/>
      <c r="D58"/>
    </row>
    <row r="59" spans="2:4">
      <c r="B59"/>
      <c r="D59"/>
    </row>
    <row r="60" spans="2:4">
      <c r="B60"/>
      <c r="D60"/>
    </row>
    <row r="61" spans="2:4">
      <c r="B61"/>
      <c r="D61"/>
    </row>
    <row r="62" spans="2:4">
      <c r="B62"/>
      <c r="D62"/>
    </row>
    <row r="63" spans="2:4">
      <c r="B63"/>
      <c r="D63"/>
    </row>
    <row r="64" spans="2:4">
      <c r="B64"/>
      <c r="D64"/>
    </row>
    <row r="65" spans="2:4">
      <c r="B65"/>
      <c r="D65"/>
    </row>
    <row r="66" spans="2:4">
      <c r="B66"/>
      <c r="D66"/>
    </row>
    <row r="67" spans="2:4">
      <c r="B67"/>
      <c r="D67"/>
    </row>
    <row r="68" spans="2:4">
      <c r="B68"/>
      <c r="D68"/>
    </row>
    <row r="69" spans="2:4">
      <c r="B69"/>
      <c r="D69"/>
    </row>
    <row r="70" spans="2:4">
      <c r="B70"/>
      <c r="D70"/>
    </row>
    <row r="71" spans="2:4">
      <c r="B71"/>
      <c r="D71"/>
    </row>
    <row r="72" spans="2:4">
      <c r="B72"/>
      <c r="D72"/>
    </row>
    <row r="73" spans="2:4">
      <c r="B73"/>
      <c r="D73"/>
    </row>
    <row r="74" spans="2:4">
      <c r="B74"/>
      <c r="D74"/>
    </row>
    <row r="75" spans="2:4">
      <c r="B75"/>
      <c r="D75"/>
    </row>
    <row r="76" spans="2:4">
      <c r="B76"/>
      <c r="D76"/>
    </row>
    <row r="77" spans="2:4">
      <c r="B77"/>
      <c r="D77"/>
    </row>
    <row r="78" spans="2:4">
      <c r="B78"/>
      <c r="D78"/>
    </row>
    <row r="79" spans="2:4">
      <c r="B79"/>
      <c r="D79"/>
    </row>
    <row r="80" spans="2:4">
      <c r="B80"/>
      <c r="D80"/>
    </row>
    <row r="81" spans="2:4">
      <c r="B81"/>
      <c r="D81"/>
    </row>
    <row r="82" spans="2:4">
      <c r="B82"/>
      <c r="D82"/>
    </row>
    <row r="83" spans="2:4">
      <c r="B83"/>
      <c r="D83"/>
    </row>
    <row r="84" spans="2:4">
      <c r="B84"/>
      <c r="D84"/>
    </row>
    <row r="85" spans="2:4">
      <c r="B85"/>
      <c r="D85"/>
    </row>
    <row r="86" spans="2:4">
      <c r="B86"/>
      <c r="D86"/>
    </row>
    <row r="87" spans="2:4">
      <c r="B87"/>
      <c r="D87"/>
    </row>
    <row r="88" spans="2:4">
      <c r="B88"/>
      <c r="D88"/>
    </row>
    <row r="89" spans="2:4">
      <c r="B89"/>
      <c r="D89"/>
    </row>
    <row r="90" spans="2:4">
      <c r="B90"/>
      <c r="D90"/>
    </row>
    <row r="91" spans="2:4">
      <c r="B91"/>
      <c r="D91"/>
    </row>
    <row r="92" spans="2:4">
      <c r="B92"/>
      <c r="D92"/>
    </row>
    <row r="93" spans="2:4">
      <c r="B93"/>
      <c r="D93"/>
    </row>
    <row r="94" spans="2:4">
      <c r="B94"/>
      <c r="D94"/>
    </row>
    <row r="95" spans="2:4">
      <c r="B95"/>
      <c r="D95"/>
    </row>
    <row r="96" spans="2:4">
      <c r="B96"/>
      <c r="D96"/>
    </row>
    <row r="97" spans="2:4">
      <c r="B97"/>
      <c r="D97"/>
    </row>
    <row r="98" spans="2:4">
      <c r="B98"/>
      <c r="D98"/>
    </row>
    <row r="99" spans="2:4">
      <c r="B99"/>
      <c r="D99"/>
    </row>
    <row r="100" spans="2:4">
      <c r="B100"/>
      <c r="D100"/>
    </row>
    <row r="101" spans="2:4">
      <c r="B101"/>
      <c r="D101"/>
    </row>
    <row r="102" spans="2:4">
      <c r="B102"/>
      <c r="D102"/>
    </row>
    <row r="103" spans="2:4">
      <c r="B103"/>
      <c r="D103"/>
    </row>
    <row r="104" spans="2:4">
      <c r="B104"/>
      <c r="D104"/>
    </row>
    <row r="105" spans="2:4">
      <c r="B105"/>
      <c r="D105"/>
    </row>
    <row r="106" spans="2:4">
      <c r="B106"/>
      <c r="D106"/>
    </row>
    <row r="107" spans="2:4">
      <c r="B107"/>
      <c r="D107"/>
    </row>
    <row r="108" spans="2:4">
      <c r="B108"/>
      <c r="D108"/>
    </row>
    <row r="109" spans="2:4">
      <c r="B109"/>
      <c r="D109"/>
    </row>
    <row r="110" spans="2:4">
      <c r="B110"/>
      <c r="D110"/>
    </row>
    <row r="111" spans="2:4">
      <c r="B111"/>
      <c r="D111"/>
    </row>
    <row r="112" spans="2:4">
      <c r="B112"/>
      <c r="D112"/>
    </row>
    <row r="113" spans="2:4">
      <c r="B113"/>
      <c r="D113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baseColWidth="10" defaultRowHeight="12.75"/>
  <cols>
    <col min="2" max="2" width="12.85546875" style="24" customWidth="1"/>
    <col min="4" max="4" width="12.85546875" style="24" bestFit="1" customWidth="1"/>
  </cols>
  <sheetData>
    <row r="1" spans="1:6" ht="18">
      <c r="A1" s="1" t="s">
        <v>146</v>
      </c>
    </row>
    <row r="2" spans="1:6" ht="18" customHeight="1">
      <c r="A2" s="35" t="s">
        <v>91</v>
      </c>
      <c r="B2" s="48" t="s">
        <v>116</v>
      </c>
      <c r="C2" s="29" t="s">
        <v>117</v>
      </c>
      <c r="D2" s="48" t="s">
        <v>130</v>
      </c>
      <c r="E2" s="29" t="s">
        <v>129</v>
      </c>
      <c r="F2" s="38" t="s">
        <v>93</v>
      </c>
    </row>
    <row r="3" spans="1:6" ht="18" customHeight="1">
      <c r="A3" s="36" t="s">
        <v>144</v>
      </c>
      <c r="B3" s="33">
        <f>ROUND(GETPIVOTDATA("Opplag 2008",Forlag!$A$4,"Utgiver","AM"),-3)</f>
        <v>31725000</v>
      </c>
      <c r="C3" s="34">
        <f>B3/$B$7</f>
        <v>0.37096585594013098</v>
      </c>
      <c r="D3" s="33">
        <f>ROUND(GETPIVOTDATA("Opplag 2009",Forlag!$A$4,"Utgiver","AM"),-3)</f>
        <v>29800000</v>
      </c>
      <c r="E3" s="34">
        <f>D3/$D$7</f>
        <v>0.36966742336843933</v>
      </c>
      <c r="F3" s="39">
        <f>IF(B3=0,0,(D3-B3)/B3)</f>
        <v>-6.0677698975571313E-2</v>
      </c>
    </row>
    <row r="4" spans="1:6" ht="18" customHeight="1">
      <c r="A4" s="36" t="s">
        <v>43</v>
      </c>
      <c r="B4" s="33">
        <f>ROUND(GETPIVOTDATA("Opplag 2008",Forlag!$A$4,"Utgiver","HM"),-3)</f>
        <v>38521000</v>
      </c>
      <c r="C4" s="34">
        <f>B4/$B$7</f>
        <v>0.45043264733395699</v>
      </c>
      <c r="D4" s="33">
        <f>ROUND(GETPIVOTDATA("Opplag 2009",Forlag!$A$4,"Utgiver","HM"),-3)</f>
        <v>36603000</v>
      </c>
      <c r="E4" s="34">
        <f>D4/$D$7</f>
        <v>0.45405827844144242</v>
      </c>
      <c r="F4" s="39">
        <f>IF(B4=0,0,(D4-B4)/B4)</f>
        <v>-4.9791023078320916E-2</v>
      </c>
    </row>
    <row r="5" spans="1:6" ht="18" customHeight="1">
      <c r="A5" s="36" t="s">
        <v>87</v>
      </c>
      <c r="B5" s="33">
        <f>ROUND(GETPIVOTDATA("Opplag 2008",Forlag!$A$4,"Utgiver","BM")+GETPIVOTDATA("Opplag 2008",Forlag!$A$4,"Utgiver","BPI")+GETPIVOTDATA("Opplag 2008",Forlag!$A$4,"Utgiver","BT"),-3)</f>
        <v>6678000</v>
      </c>
      <c r="C5" s="34">
        <f>B5/$B$7</f>
        <v>7.8086997193638916E-2</v>
      </c>
      <c r="D5" s="33">
        <f>ROUND(GETPIVOTDATA("Opplag 2009",Forlag!$A$4,"Utgiver","BM")+GETPIVOTDATA("Opplag 2009",Forlag!$A$4,"Utgiver","BPI")+GETPIVOTDATA("Opplag 2009",Forlag!$A$4,"Utgiver","BT"),-3)</f>
        <v>6415000</v>
      </c>
      <c r="E5" s="34">
        <f>D5/$D$7</f>
        <v>7.9577735600957655E-2</v>
      </c>
      <c r="F5" s="39">
        <f>IF(B5=0,0,(D5-B5)/B5)</f>
        <v>-3.9383048817011081E-2</v>
      </c>
    </row>
    <row r="6" spans="1:6" ht="18" customHeight="1">
      <c r="A6" s="36" t="s">
        <v>88</v>
      </c>
      <c r="B6" s="33">
        <f>B7-B5-B4-B3</f>
        <v>8596000</v>
      </c>
      <c r="C6" s="34">
        <f>B6/$B$7</f>
        <v>0.10051449953227315</v>
      </c>
      <c r="D6" s="33">
        <f>D7-D5-D4-D3</f>
        <v>7795000</v>
      </c>
      <c r="E6" s="34">
        <f>D6/$D$7</f>
        <v>9.6696562589160553E-2</v>
      </c>
      <c r="F6" s="39">
        <f>IF(B6=0,0,(D6-B6)/B6)</f>
        <v>-9.3182875756165656E-2</v>
      </c>
    </row>
    <row r="7" spans="1:6" ht="18" customHeight="1">
      <c r="A7" s="37" t="s">
        <v>76</v>
      </c>
      <c r="B7" s="30">
        <f>ROUND(GETPIVOTDATA("Opplag 2008",Forlag!$A$4),-3)</f>
        <v>85520000</v>
      </c>
      <c r="C7" s="31">
        <f>B7/$B$7</f>
        <v>1</v>
      </c>
      <c r="D7" s="30">
        <f>ROUND(GETPIVOTDATA("Opplag 2009",Forlag!$A$4),-3)</f>
        <v>80613000</v>
      </c>
      <c r="E7" s="31">
        <f>D7/$D$7</f>
        <v>1</v>
      </c>
      <c r="F7" s="40">
        <f>IF(B7=0,0,(D7-B7)/B7)</f>
        <v>-5.737839101964453E-2</v>
      </c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1"/>
  <headerFooter alignWithMargins="0">
    <oddHeader>&amp;R&amp;F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pane ySplit="4" topLeftCell="A5" activePane="bottomLeft" state="frozen"/>
      <selection pane="bottomLeft" activeCell="C12" sqref="C12"/>
    </sheetView>
  </sheetViews>
  <sheetFormatPr baseColWidth="10" defaultRowHeight="12.75"/>
  <cols>
    <col min="1" max="1" width="9.5703125" customWidth="1"/>
    <col min="2" max="2" width="12.7109375" style="16" bestFit="1" customWidth="1"/>
    <col min="3" max="3" width="10.85546875" customWidth="1"/>
    <col min="4" max="4" width="12.7109375" style="16" customWidth="1"/>
    <col min="5" max="5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5" ht="18">
      <c r="A1" s="1" t="s">
        <v>96</v>
      </c>
    </row>
    <row r="2" spans="1:5">
      <c r="A2" s="18" t="s">
        <v>4</v>
      </c>
      <c r="B2" s="17" t="s">
        <v>85</v>
      </c>
    </row>
    <row r="4" spans="1:5">
      <c r="A4" s="72" t="s">
        <v>1</v>
      </c>
      <c r="B4" s="73" t="s">
        <v>116</v>
      </c>
      <c r="C4" s="73" t="s">
        <v>117</v>
      </c>
      <c r="D4" s="73" t="s">
        <v>130</v>
      </c>
      <c r="E4" s="73" t="s">
        <v>129</v>
      </c>
    </row>
    <row r="5" spans="1:5" ht="15" customHeight="1">
      <c r="A5" s="22" t="s">
        <v>16</v>
      </c>
      <c r="B5" s="19">
        <v>460250</v>
      </c>
      <c r="C5" s="20">
        <v>5.3817572449444051E-3</v>
      </c>
      <c r="D5" s="19">
        <v>454230</v>
      </c>
      <c r="E5" s="20">
        <v>5.6346647982283759E-3</v>
      </c>
    </row>
    <row r="6" spans="1:5" ht="15" customHeight="1">
      <c r="A6" s="22" t="s">
        <v>18</v>
      </c>
      <c r="B6" s="19">
        <v>1365288</v>
      </c>
      <c r="C6" s="20">
        <v>1.5964472754884641E-2</v>
      </c>
      <c r="D6" s="19">
        <v>1389336</v>
      </c>
      <c r="E6" s="20">
        <v>1.7234534601658674E-2</v>
      </c>
    </row>
    <row r="7" spans="1:5" ht="15" customHeight="1">
      <c r="A7" s="22" t="s">
        <v>21</v>
      </c>
      <c r="B7" s="19">
        <v>4932684</v>
      </c>
      <c r="C7" s="20">
        <v>5.7678452697493422E-2</v>
      </c>
      <c r="D7" s="19">
        <v>4672104</v>
      </c>
      <c r="E7" s="20">
        <v>5.7956849927265894E-2</v>
      </c>
    </row>
    <row r="8" spans="1:5" ht="15" customHeight="1">
      <c r="A8" s="22" t="s">
        <v>106</v>
      </c>
      <c r="B8" s="19">
        <v>379746</v>
      </c>
      <c r="C8" s="20">
        <v>4.440414528492467E-3</v>
      </c>
      <c r="D8" s="19">
        <v>353247</v>
      </c>
      <c r="E8" s="20">
        <v>4.381983655812648E-3</v>
      </c>
    </row>
    <row r="9" spans="1:5" ht="15" customHeight="1">
      <c r="A9" s="22" t="s">
        <v>31</v>
      </c>
      <c r="B9" s="19">
        <v>6881522</v>
      </c>
      <c r="C9" s="20">
        <v>8.0466444062453693E-2</v>
      </c>
      <c r="D9" s="19">
        <v>6181430</v>
      </c>
      <c r="E9" s="20">
        <v>7.6679845064643093E-2</v>
      </c>
    </row>
    <row r="10" spans="1:5" ht="15" customHeight="1">
      <c r="A10" s="22" t="s">
        <v>38</v>
      </c>
      <c r="B10" s="19">
        <v>159278</v>
      </c>
      <c r="C10" s="20">
        <v>1.8624563399462356E-3</v>
      </c>
      <c r="D10" s="19">
        <v>210924</v>
      </c>
      <c r="E10" s="20">
        <v>2.6164851240594454E-3</v>
      </c>
    </row>
    <row r="11" spans="1:5" ht="15" customHeight="1">
      <c r="A11" s="22" t="s">
        <v>43</v>
      </c>
      <c r="B11" s="19">
        <v>38520693</v>
      </c>
      <c r="C11" s="20">
        <v>0.45042698236399614</v>
      </c>
      <c r="D11" s="19">
        <v>36602930</v>
      </c>
      <c r="E11" s="20">
        <v>0.45405464452593919</v>
      </c>
    </row>
    <row r="12" spans="1:5" ht="15" customHeight="1">
      <c r="A12" s="22" t="s">
        <v>66</v>
      </c>
      <c r="B12" s="19">
        <v>1009148</v>
      </c>
      <c r="C12" s="20">
        <v>1.1800085953766771E-2</v>
      </c>
      <c r="D12" s="19">
        <v>873119</v>
      </c>
      <c r="E12" s="20">
        <v>1.0830929031469434E-2</v>
      </c>
    </row>
    <row r="13" spans="1:5" ht="15" customHeight="1">
      <c r="A13" s="22" t="s">
        <v>118</v>
      </c>
      <c r="B13" s="19">
        <v>87269</v>
      </c>
      <c r="C13" s="20">
        <v>1.0204466550984318E-3</v>
      </c>
      <c r="D13" s="19">
        <v>75901</v>
      </c>
      <c r="E13" s="20">
        <v>9.415421545259713E-4</v>
      </c>
    </row>
    <row r="14" spans="1:5" ht="15" customHeight="1">
      <c r="A14" s="22" t="s">
        <v>144</v>
      </c>
      <c r="B14" s="19">
        <v>31724516</v>
      </c>
      <c r="C14" s="20">
        <v>0.37095848739892384</v>
      </c>
      <c r="D14" s="19">
        <v>29800270</v>
      </c>
      <c r="E14" s="20">
        <v>0.36966852111639725</v>
      </c>
    </row>
    <row r="15" spans="1:5" ht="15">
      <c r="A15" s="60" t="s">
        <v>84</v>
      </c>
      <c r="B15" s="58">
        <v>85520394</v>
      </c>
      <c r="C15" s="59">
        <v>1</v>
      </c>
      <c r="D15" s="58">
        <v>80613491</v>
      </c>
      <c r="E15" s="59">
        <v>1</v>
      </c>
    </row>
    <row r="16" spans="1:5">
      <c r="B16"/>
      <c r="D16"/>
    </row>
    <row r="17" spans="2:4" ht="15" customHeight="1">
      <c r="B17"/>
      <c r="D17"/>
    </row>
    <row r="18" spans="2:4">
      <c r="B18"/>
      <c r="D18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10"/>
  <sheetViews>
    <sheetView workbookViewId="0">
      <pane ySplit="4" topLeftCell="A5" activePane="bottomLeft" state="frozen"/>
      <selection pane="bottomLeft" activeCell="E16" sqref="E16"/>
    </sheetView>
  </sheetViews>
  <sheetFormatPr baseColWidth="10" defaultRowHeight="12.75"/>
  <cols>
    <col min="1" max="1" width="9.85546875" customWidth="1"/>
    <col min="2" max="2" width="23" style="24" customWidth="1"/>
    <col min="3" max="3" width="12.7109375" customWidth="1"/>
    <col min="4" max="4" width="10.85546875" style="24" bestFit="1" customWidth="1"/>
    <col min="5" max="5" width="12.7109375" style="16" customWidth="1"/>
    <col min="6" max="6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6" ht="18">
      <c r="A1" s="1" t="s">
        <v>97</v>
      </c>
    </row>
    <row r="2" spans="1:6">
      <c r="A2" s="18" t="s">
        <v>4</v>
      </c>
      <c r="B2" s="17" t="s">
        <v>85</v>
      </c>
    </row>
    <row r="4" spans="1:6">
      <c r="A4" s="21" t="s">
        <v>1</v>
      </c>
      <c r="B4" s="21" t="s">
        <v>0</v>
      </c>
      <c r="C4" s="23" t="s">
        <v>116</v>
      </c>
      <c r="D4" s="23" t="s">
        <v>117</v>
      </c>
      <c r="E4" s="23" t="s">
        <v>130</v>
      </c>
      <c r="F4" s="23" t="s">
        <v>129</v>
      </c>
    </row>
    <row r="5" spans="1:6" ht="15">
      <c r="A5" s="61" t="s">
        <v>16</v>
      </c>
      <c r="B5" s="61"/>
      <c r="C5" s="58">
        <v>460250</v>
      </c>
      <c r="D5" s="59">
        <v>5.3817572449444051E-3</v>
      </c>
      <c r="E5" s="58">
        <v>454230</v>
      </c>
      <c r="F5" s="59">
        <v>5.3817572449444051E-3</v>
      </c>
    </row>
    <row r="6" spans="1:6" ht="15" customHeight="1">
      <c r="A6" s="22"/>
      <c r="B6" s="22" t="s">
        <v>15</v>
      </c>
      <c r="C6" s="19">
        <v>460250</v>
      </c>
      <c r="D6" s="20">
        <v>5.3817572449444051E-3</v>
      </c>
      <c r="E6" s="19">
        <v>454230</v>
      </c>
      <c r="F6" s="20">
        <v>5.3817572449444051E-3</v>
      </c>
    </row>
    <row r="7" spans="1:6" ht="15" customHeight="1">
      <c r="A7" s="22"/>
      <c r="B7" s="22"/>
      <c r="C7" s="19"/>
      <c r="D7" s="20"/>
      <c r="E7" s="19"/>
      <c r="F7" s="20"/>
    </row>
    <row r="8" spans="1:6" ht="15">
      <c r="A8" s="61" t="s">
        <v>18</v>
      </c>
      <c r="B8" s="61"/>
      <c r="C8" s="58">
        <v>1365288</v>
      </c>
      <c r="D8" s="59">
        <v>1.5964472754884641E-2</v>
      </c>
      <c r="E8" s="58">
        <v>1389336</v>
      </c>
      <c r="F8" s="59">
        <v>1.5964472754884641E-2</v>
      </c>
    </row>
    <row r="9" spans="1:6" ht="15" customHeight="1">
      <c r="A9" s="22"/>
      <c r="B9" s="22" t="s">
        <v>17</v>
      </c>
      <c r="C9" s="19">
        <v>607776</v>
      </c>
      <c r="D9" s="20">
        <v>7.1067960701864871E-3</v>
      </c>
      <c r="E9" s="19">
        <v>572652</v>
      </c>
      <c r="F9" s="20">
        <v>7.1067960701864871E-3</v>
      </c>
    </row>
    <row r="10" spans="1:6" ht="15" customHeight="1">
      <c r="A10" s="22"/>
      <c r="B10" s="22" t="s">
        <v>19</v>
      </c>
      <c r="C10" s="19">
        <v>378696</v>
      </c>
      <c r="D10" s="20">
        <v>4.4281367553100845E-3</v>
      </c>
      <c r="E10" s="19">
        <v>371988</v>
      </c>
      <c r="F10" s="20">
        <v>4.4281367553100845E-3</v>
      </c>
    </row>
    <row r="11" spans="1:6" ht="15" customHeight="1">
      <c r="A11" s="22"/>
      <c r="B11" s="22" t="s">
        <v>94</v>
      </c>
      <c r="C11" s="19">
        <v>378816</v>
      </c>
      <c r="D11" s="20">
        <v>4.4295399293880705E-3</v>
      </c>
      <c r="E11" s="19">
        <v>444696</v>
      </c>
      <c r="F11" s="20">
        <v>4.4295399293880705E-3</v>
      </c>
    </row>
    <row r="12" spans="1:6" ht="15" customHeight="1">
      <c r="A12" s="22"/>
      <c r="B12" s="22"/>
      <c r="C12" s="19"/>
      <c r="D12" s="20"/>
      <c r="E12" s="19"/>
      <c r="F12" s="20"/>
    </row>
    <row r="13" spans="1:6" ht="15">
      <c r="A13" s="61" t="s">
        <v>21</v>
      </c>
      <c r="B13" s="61"/>
      <c r="C13" s="58">
        <v>4932684</v>
      </c>
      <c r="D13" s="59">
        <v>5.7678452697493422E-2</v>
      </c>
      <c r="E13" s="58">
        <v>4672104</v>
      </c>
      <c r="F13" s="59">
        <v>5.7678452697493422E-2</v>
      </c>
    </row>
    <row r="14" spans="1:6" ht="15" customHeight="1">
      <c r="A14" s="22"/>
      <c r="B14" s="22" t="s">
        <v>20</v>
      </c>
      <c r="C14" s="19">
        <v>413112</v>
      </c>
      <c r="D14" s="20">
        <v>4.8305670808766387E-3</v>
      </c>
      <c r="E14" s="19">
        <v>405540</v>
      </c>
      <c r="F14" s="20">
        <v>4.8305670808766387E-3</v>
      </c>
    </row>
    <row r="15" spans="1:6" ht="15" customHeight="1">
      <c r="A15" s="22"/>
      <c r="B15" s="22" t="s">
        <v>22</v>
      </c>
      <c r="C15" s="19">
        <v>220410</v>
      </c>
      <c r="D15" s="20">
        <v>2.5772799877418714E-3</v>
      </c>
      <c r="E15" s="19">
        <v>216792</v>
      </c>
      <c r="F15" s="20">
        <v>2.5772799877418714E-3</v>
      </c>
    </row>
    <row r="16" spans="1:6" ht="15" customHeight="1">
      <c r="A16" s="22"/>
      <c r="B16" s="22" t="s">
        <v>23</v>
      </c>
      <c r="C16" s="19">
        <v>428166</v>
      </c>
      <c r="D16" s="20">
        <v>5.0065952689600565E-3</v>
      </c>
      <c r="E16" s="19">
        <v>378198</v>
      </c>
      <c r="F16" s="20">
        <v>5.0065952689600565E-3</v>
      </c>
    </row>
    <row r="17" spans="1:6" ht="15" customHeight="1">
      <c r="A17" s="22"/>
      <c r="B17" s="22" t="s">
        <v>24</v>
      </c>
      <c r="C17" s="19">
        <v>645894</v>
      </c>
      <c r="D17" s="20">
        <v>7.552514316058927E-3</v>
      </c>
      <c r="E17" s="19">
        <v>532782</v>
      </c>
      <c r="F17" s="20">
        <v>7.552514316058927E-3</v>
      </c>
    </row>
    <row r="18" spans="1:6">
      <c r="A18" s="22"/>
      <c r="B18" s="22" t="s">
        <v>25</v>
      </c>
      <c r="C18" s="19">
        <v>1357668</v>
      </c>
      <c r="D18" s="20">
        <v>1.5875371200932492E-2</v>
      </c>
      <c r="E18" s="19">
        <v>1164744</v>
      </c>
      <c r="F18" s="20">
        <v>1.5875371200932492E-2</v>
      </c>
    </row>
    <row r="19" spans="1:6">
      <c r="A19" s="22"/>
      <c r="B19" s="22" t="s">
        <v>26</v>
      </c>
      <c r="C19" s="19">
        <v>313776</v>
      </c>
      <c r="D19" s="20">
        <v>3.6690195791193383E-3</v>
      </c>
      <c r="E19" s="19">
        <v>290862</v>
      </c>
      <c r="F19" s="20">
        <v>3.6690195791193383E-3</v>
      </c>
    </row>
    <row r="20" spans="1:6">
      <c r="A20" s="22"/>
      <c r="B20" s="22" t="s">
        <v>27</v>
      </c>
      <c r="C20" s="19">
        <v>246810</v>
      </c>
      <c r="D20" s="20">
        <v>2.8859782848989213E-3</v>
      </c>
      <c r="E20" s="19">
        <v>179004</v>
      </c>
      <c r="F20" s="20">
        <v>2.8859782848989213E-3</v>
      </c>
    </row>
    <row r="21" spans="1:6">
      <c r="A21" s="22"/>
      <c r="B21" s="22" t="s">
        <v>29</v>
      </c>
      <c r="C21" s="19">
        <v>464448</v>
      </c>
      <c r="D21" s="20">
        <v>5.4308449514393021E-3</v>
      </c>
      <c r="E21" s="19">
        <v>612480</v>
      </c>
      <c r="F21" s="20">
        <v>5.4308449514393021E-3</v>
      </c>
    </row>
    <row r="22" spans="1:6">
      <c r="A22" s="22"/>
      <c r="B22" s="22" t="s">
        <v>104</v>
      </c>
      <c r="C22" s="19">
        <v>395280</v>
      </c>
      <c r="D22" s="20">
        <v>4.6220554128878315E-3</v>
      </c>
      <c r="E22" s="19">
        <v>456660</v>
      </c>
      <c r="F22" s="20">
        <v>4.6220554128878315E-3</v>
      </c>
    </row>
    <row r="23" spans="1:6">
      <c r="A23" s="22"/>
      <c r="B23" s="22" t="s">
        <v>107</v>
      </c>
      <c r="C23" s="19">
        <v>447120</v>
      </c>
      <c r="D23" s="20">
        <v>5.2282266145780385E-3</v>
      </c>
      <c r="E23" s="19">
        <v>435042</v>
      </c>
      <c r="F23" s="20">
        <v>5.2282266145780385E-3</v>
      </c>
    </row>
    <row r="24" spans="1:6">
      <c r="A24" s="22"/>
      <c r="B24" s="22"/>
      <c r="C24" s="19"/>
      <c r="D24" s="20"/>
      <c r="E24" s="19"/>
      <c r="F24" s="20"/>
    </row>
    <row r="25" spans="1:6" ht="15">
      <c r="A25" s="61" t="s">
        <v>106</v>
      </c>
      <c r="B25" s="61"/>
      <c r="C25" s="58">
        <v>379746</v>
      </c>
      <c r="D25" s="59">
        <v>4.440414528492467E-3</v>
      </c>
      <c r="E25" s="58">
        <v>353247</v>
      </c>
      <c r="F25" s="59">
        <v>4.440414528492467E-3</v>
      </c>
    </row>
    <row r="26" spans="1:6">
      <c r="A26" s="22"/>
      <c r="B26" s="22" t="s">
        <v>28</v>
      </c>
      <c r="C26" s="19">
        <v>174036</v>
      </c>
      <c r="D26" s="20">
        <v>2.0350233653039533E-3</v>
      </c>
      <c r="E26" s="19">
        <v>134292</v>
      </c>
      <c r="F26" s="20">
        <v>2.0350233653039533E-3</v>
      </c>
    </row>
    <row r="27" spans="1:6">
      <c r="A27" s="22"/>
      <c r="B27" s="22" t="s">
        <v>105</v>
      </c>
      <c r="C27" s="19">
        <v>205710</v>
      </c>
      <c r="D27" s="20">
        <v>2.4053911631885137E-3</v>
      </c>
      <c r="E27" s="19">
        <v>218955</v>
      </c>
      <c r="F27" s="20">
        <v>2.4053911631885137E-3</v>
      </c>
    </row>
    <row r="28" spans="1:6">
      <c r="A28" s="22"/>
      <c r="B28" s="22"/>
      <c r="C28" s="19"/>
      <c r="D28" s="20"/>
      <c r="E28" s="19"/>
      <c r="F28" s="20"/>
    </row>
    <row r="29" spans="1:6" ht="15">
      <c r="A29" s="61" t="s">
        <v>31</v>
      </c>
      <c r="B29" s="61"/>
      <c r="C29" s="58">
        <v>6881522</v>
      </c>
      <c r="D29" s="59">
        <v>8.0466444062453693E-2</v>
      </c>
      <c r="E29" s="58">
        <v>6181430</v>
      </c>
      <c r="F29" s="59">
        <v>8.0466444062453693E-2</v>
      </c>
    </row>
    <row r="30" spans="1:6">
      <c r="A30" s="22"/>
      <c r="B30" s="22" t="s">
        <v>32</v>
      </c>
      <c r="C30" s="19">
        <v>5159232</v>
      </c>
      <c r="D30" s="20">
        <v>6.0327505039324304E-2</v>
      </c>
      <c r="E30" s="19">
        <v>4634797</v>
      </c>
      <c r="F30" s="20">
        <v>6.0327505039324304E-2</v>
      </c>
    </row>
    <row r="31" spans="1:6">
      <c r="A31" s="22"/>
      <c r="B31" s="22" t="s">
        <v>35</v>
      </c>
      <c r="C31" s="19">
        <v>318121</v>
      </c>
      <c r="D31" s="20">
        <v>3.7198261738597698E-3</v>
      </c>
      <c r="E31" s="19">
        <v>301988</v>
      </c>
      <c r="F31" s="20">
        <v>3.7198261738597698E-3</v>
      </c>
    </row>
    <row r="32" spans="1:6">
      <c r="A32" s="22"/>
      <c r="B32" s="22" t="s">
        <v>36</v>
      </c>
      <c r="C32" s="19">
        <v>299884</v>
      </c>
      <c r="D32" s="20">
        <v>3.5065787933577573E-3</v>
      </c>
      <c r="E32" s="19">
        <v>171581</v>
      </c>
      <c r="F32" s="20">
        <v>3.5065787933577573E-3</v>
      </c>
    </row>
    <row r="33" spans="1:6">
      <c r="A33" s="22"/>
      <c r="B33" s="22" t="s">
        <v>121</v>
      </c>
      <c r="C33" s="19">
        <v>1104285</v>
      </c>
      <c r="D33" s="20">
        <v>1.2912534055911857E-2</v>
      </c>
      <c r="E33" s="19">
        <v>1073064</v>
      </c>
      <c r="F33" s="20">
        <v>1.2912534055911857E-2</v>
      </c>
    </row>
    <row r="34" spans="1:6">
      <c r="A34" s="22"/>
      <c r="B34" s="22"/>
      <c r="C34" s="19"/>
      <c r="D34" s="20"/>
      <c r="E34" s="19"/>
      <c r="F34" s="20"/>
    </row>
    <row r="35" spans="1:6" ht="15">
      <c r="A35" s="61" t="s">
        <v>38</v>
      </c>
      <c r="B35" s="61"/>
      <c r="C35" s="58">
        <v>159278</v>
      </c>
      <c r="D35" s="59">
        <v>1.8624563399462356E-3</v>
      </c>
      <c r="E35" s="58">
        <v>210924</v>
      </c>
      <c r="F35" s="59">
        <v>1.8624563399462356E-3</v>
      </c>
    </row>
    <row r="36" spans="1:6">
      <c r="A36" s="22"/>
      <c r="B36" s="22" t="s">
        <v>39</v>
      </c>
      <c r="C36" s="19">
        <v>93488</v>
      </c>
      <c r="D36" s="20">
        <v>1.0931661516900869E-3</v>
      </c>
      <c r="E36" s="19">
        <v>93864</v>
      </c>
      <c r="F36" s="20">
        <v>1.0931661516900869E-3</v>
      </c>
    </row>
    <row r="37" spans="1:6">
      <c r="A37" s="22"/>
      <c r="B37" s="22" t="s">
        <v>37</v>
      </c>
      <c r="C37" s="19">
        <v>38700</v>
      </c>
      <c r="D37" s="20">
        <v>4.5252364015067566E-4</v>
      </c>
      <c r="E37" s="19">
        <v>42702</v>
      </c>
      <c r="F37" s="20">
        <v>4.5252364015067566E-4</v>
      </c>
    </row>
    <row r="38" spans="1:6">
      <c r="A38" s="22"/>
      <c r="B38" s="22" t="s">
        <v>127</v>
      </c>
      <c r="C38" s="19">
        <v>13752</v>
      </c>
      <c r="D38" s="20">
        <v>1.6080374933726335E-4</v>
      </c>
      <c r="E38" s="19">
        <v>28152</v>
      </c>
      <c r="F38" s="20">
        <v>1.6080374933726335E-4</v>
      </c>
    </row>
    <row r="39" spans="1:6">
      <c r="A39" s="22"/>
      <c r="B39" s="22" t="s">
        <v>128</v>
      </c>
      <c r="C39" s="19">
        <v>13338</v>
      </c>
      <c r="D39" s="20">
        <v>1.5596279876820961E-4</v>
      </c>
      <c r="E39" s="19">
        <v>46206</v>
      </c>
      <c r="F39" s="20">
        <v>1.5596279876820961E-4</v>
      </c>
    </row>
    <row r="40" spans="1:6">
      <c r="A40" s="22"/>
      <c r="B40" s="22"/>
      <c r="C40" s="19"/>
      <c r="D40" s="20"/>
      <c r="E40" s="19"/>
      <c r="F40" s="20"/>
    </row>
    <row r="41" spans="1:6" ht="15">
      <c r="A41" s="61" t="s">
        <v>43</v>
      </c>
      <c r="B41" s="61"/>
      <c r="C41" s="58">
        <v>38520693</v>
      </c>
      <c r="D41" s="59">
        <v>0.45042698236399614</v>
      </c>
      <c r="E41" s="58">
        <v>36602930</v>
      </c>
      <c r="F41" s="59">
        <v>0.45042698236399614</v>
      </c>
    </row>
    <row r="42" spans="1:6">
      <c r="A42" s="22"/>
      <c r="B42" s="22" t="s">
        <v>42</v>
      </c>
      <c r="C42" s="19">
        <v>154384</v>
      </c>
      <c r="D42" s="20">
        <v>1.8052302237990157E-3</v>
      </c>
      <c r="E42" s="19">
        <v>175740</v>
      </c>
      <c r="F42" s="20">
        <v>1.8052302237990157E-3</v>
      </c>
    </row>
    <row r="43" spans="1:6">
      <c r="A43" s="22"/>
      <c r="B43" s="22" t="s">
        <v>44</v>
      </c>
      <c r="C43" s="19">
        <v>220946</v>
      </c>
      <c r="D43" s="20">
        <v>2.5835474986235446E-3</v>
      </c>
      <c r="E43" s="19">
        <v>194777</v>
      </c>
      <c r="F43" s="20">
        <v>2.5835474986235446E-3</v>
      </c>
    </row>
    <row r="44" spans="1:6">
      <c r="A44" s="22"/>
      <c r="B44" s="22" t="s">
        <v>45</v>
      </c>
      <c r="C44" s="19">
        <v>262863</v>
      </c>
      <c r="D44" s="20">
        <v>3.0736878971815776E-3</v>
      </c>
      <c r="E44" s="19">
        <v>252882</v>
      </c>
      <c r="F44" s="20">
        <v>3.0736878971815776E-3</v>
      </c>
    </row>
    <row r="45" spans="1:6">
      <c r="A45" s="22"/>
      <c r="B45" s="22" t="s">
        <v>46</v>
      </c>
      <c r="C45" s="19">
        <v>754376</v>
      </c>
      <c r="D45" s="20">
        <v>8.8210070687934385E-3</v>
      </c>
      <c r="E45" s="19">
        <v>625492</v>
      </c>
      <c r="F45" s="20">
        <v>8.8210070687934385E-3</v>
      </c>
    </row>
    <row r="46" spans="1:6">
      <c r="A46" s="22"/>
      <c r="B46" s="22" t="s">
        <v>47</v>
      </c>
      <c r="C46" s="19">
        <v>298080</v>
      </c>
      <c r="D46" s="20">
        <v>3.4854844097186922E-3</v>
      </c>
      <c r="E46" s="19">
        <v>250950</v>
      </c>
      <c r="F46" s="20">
        <v>3.4854844097186922E-3</v>
      </c>
    </row>
    <row r="47" spans="1:6">
      <c r="A47" s="22"/>
      <c r="B47" s="22" t="s">
        <v>49</v>
      </c>
      <c r="C47" s="19">
        <v>736560</v>
      </c>
      <c r="D47" s="20">
        <v>8.6126824906816966E-3</v>
      </c>
      <c r="E47" s="19">
        <v>765378</v>
      </c>
      <c r="F47" s="20">
        <v>8.6126824906816966E-3</v>
      </c>
    </row>
    <row r="48" spans="1:6">
      <c r="A48" s="22"/>
      <c r="B48" s="22" t="s">
        <v>40</v>
      </c>
      <c r="C48" s="19">
        <v>380808</v>
      </c>
      <c r="D48" s="20">
        <v>4.4528326190826483E-3</v>
      </c>
      <c r="E48" s="19">
        <v>414168</v>
      </c>
      <c r="F48" s="20">
        <v>4.4528326190826483E-3</v>
      </c>
    </row>
    <row r="49" spans="1:6">
      <c r="A49" s="22"/>
      <c r="B49" s="22" t="s">
        <v>41</v>
      </c>
      <c r="C49" s="19">
        <v>169640</v>
      </c>
      <c r="D49" s="20">
        <v>1.9836204215803776E-3</v>
      </c>
      <c r="E49" s="19">
        <v>176872</v>
      </c>
      <c r="F49" s="20">
        <v>1.9836204215803776E-3</v>
      </c>
    </row>
    <row r="50" spans="1:6">
      <c r="A50" s="22"/>
      <c r="B50" s="22" t="s">
        <v>50</v>
      </c>
      <c r="C50" s="19">
        <v>3089034</v>
      </c>
      <c r="D50" s="20">
        <v>3.6120436956826929E-2</v>
      </c>
      <c r="E50" s="19">
        <v>2897648</v>
      </c>
      <c r="F50" s="20">
        <v>3.6120436956826929E-2</v>
      </c>
    </row>
    <row r="51" spans="1:6">
      <c r="A51" s="22"/>
      <c r="B51" s="22" t="s">
        <v>51</v>
      </c>
      <c r="C51" s="19">
        <v>614544</v>
      </c>
      <c r="D51" s="20">
        <v>7.1859350881849308E-3</v>
      </c>
      <c r="E51" s="19">
        <v>608832</v>
      </c>
      <c r="F51" s="20">
        <v>7.1859350881849308E-3</v>
      </c>
    </row>
    <row r="52" spans="1:6">
      <c r="A52" s="22"/>
      <c r="B52" s="22" t="s">
        <v>52</v>
      </c>
      <c r="C52" s="19">
        <v>88816</v>
      </c>
      <c r="D52" s="20">
        <v>1.0385359075871423E-3</v>
      </c>
      <c r="E52" s="19">
        <v>70231</v>
      </c>
      <c r="F52" s="20">
        <v>1.0385359075871423E-3</v>
      </c>
    </row>
    <row r="53" spans="1:6">
      <c r="A53" s="22"/>
      <c r="B53" s="22" t="s">
        <v>53</v>
      </c>
      <c r="C53" s="19">
        <v>7642128</v>
      </c>
      <c r="D53" s="20">
        <v>8.9360299252129266E-2</v>
      </c>
      <c r="E53" s="19">
        <v>7155106</v>
      </c>
      <c r="F53" s="20">
        <v>8.9360299252129266E-2</v>
      </c>
    </row>
    <row r="54" spans="1:6">
      <c r="A54" s="22"/>
      <c r="B54" s="22" t="s">
        <v>54</v>
      </c>
      <c r="C54" s="19">
        <v>312720</v>
      </c>
      <c r="D54" s="20">
        <v>3.6566716472330564E-3</v>
      </c>
      <c r="E54" s="19">
        <v>243240</v>
      </c>
      <c r="F54" s="20">
        <v>3.6566716472330564E-3</v>
      </c>
    </row>
    <row r="55" spans="1:6">
      <c r="A55" s="22"/>
      <c r="B55" s="22" t="s">
        <v>55</v>
      </c>
      <c r="C55" s="19">
        <v>10084672</v>
      </c>
      <c r="D55" s="20">
        <v>0.1179212527949766</v>
      </c>
      <c r="E55" s="19">
        <v>9787934</v>
      </c>
      <c r="F55" s="20">
        <v>0.1179212527949766</v>
      </c>
    </row>
    <row r="56" spans="1:6">
      <c r="A56" s="22"/>
      <c r="B56" s="22" t="s">
        <v>56</v>
      </c>
      <c r="C56" s="19">
        <v>658152</v>
      </c>
      <c r="D56" s="20">
        <v>7.6958485481252578E-3</v>
      </c>
      <c r="E56" s="19">
        <v>599401</v>
      </c>
      <c r="F56" s="20">
        <v>7.6958485481252578E-3</v>
      </c>
    </row>
    <row r="57" spans="1:6">
      <c r="A57" s="22"/>
      <c r="B57" s="22" t="s">
        <v>57</v>
      </c>
      <c r="C57" s="19">
        <v>157544</v>
      </c>
      <c r="D57" s="20">
        <v>1.8421804745193293E-3</v>
      </c>
      <c r="E57" s="19">
        <v>149512</v>
      </c>
      <c r="F57" s="20">
        <v>1.8421804745193293E-3</v>
      </c>
    </row>
    <row r="58" spans="1:6">
      <c r="A58" s="22"/>
      <c r="B58" s="22" t="s">
        <v>58</v>
      </c>
      <c r="C58" s="19">
        <v>1271700</v>
      </c>
      <c r="D58" s="20">
        <v>1.4870137291462899E-2</v>
      </c>
      <c r="E58" s="19">
        <v>1296270</v>
      </c>
      <c r="F58" s="20">
        <v>1.4870137291462899E-2</v>
      </c>
    </row>
    <row r="59" spans="1:6">
      <c r="A59" s="22"/>
      <c r="B59" s="22" t="s">
        <v>59</v>
      </c>
      <c r="C59" s="19">
        <v>199980</v>
      </c>
      <c r="D59" s="20">
        <v>2.3383896009646541E-3</v>
      </c>
      <c r="E59" s="19">
        <v>176304</v>
      </c>
      <c r="F59" s="20">
        <v>2.3383896009646541E-3</v>
      </c>
    </row>
    <row r="60" spans="1:6">
      <c r="A60" s="22"/>
      <c r="B60" s="22" t="s">
        <v>61</v>
      </c>
      <c r="C60" s="19">
        <v>5796024</v>
      </c>
      <c r="D60" s="20">
        <v>6.7773588601567944E-2</v>
      </c>
      <c r="E60" s="19">
        <v>5424391</v>
      </c>
      <c r="F60" s="20">
        <v>6.7773588601567944E-2</v>
      </c>
    </row>
    <row r="61" spans="1:6">
      <c r="A61" s="22"/>
      <c r="B61" s="22" t="s">
        <v>62</v>
      </c>
      <c r="C61" s="19">
        <v>4436350</v>
      </c>
      <c r="D61" s="20">
        <v>5.1874761007298445E-2</v>
      </c>
      <c r="E61" s="19">
        <v>4158693</v>
      </c>
      <c r="F61" s="20">
        <v>5.1874761007298445E-2</v>
      </c>
    </row>
    <row r="62" spans="1:6">
      <c r="A62" s="22"/>
      <c r="B62" s="22" t="s">
        <v>63</v>
      </c>
      <c r="C62" s="19">
        <v>52248</v>
      </c>
      <c r="D62" s="20">
        <v>6.1094199355536173E-4</v>
      </c>
      <c r="E62" s="19">
        <v>40243</v>
      </c>
      <c r="F62" s="20">
        <v>6.1094199355536173E-4</v>
      </c>
    </row>
    <row r="63" spans="1:6">
      <c r="A63" s="22"/>
      <c r="B63" s="22" t="s">
        <v>64</v>
      </c>
      <c r="C63" s="19">
        <v>504384</v>
      </c>
      <c r="D63" s="20">
        <v>5.8978212845932397E-3</v>
      </c>
      <c r="E63" s="19">
        <v>450276</v>
      </c>
      <c r="F63" s="20">
        <v>5.8978212845932397E-3</v>
      </c>
    </row>
    <row r="64" spans="1:6">
      <c r="A64" s="22"/>
      <c r="B64" s="22" t="s">
        <v>95</v>
      </c>
      <c r="C64" s="19">
        <v>149430</v>
      </c>
      <c r="D64" s="20">
        <v>1.7473025206128027E-3</v>
      </c>
      <c r="E64" s="19">
        <v>151910</v>
      </c>
      <c r="F64" s="20">
        <v>1.7473025206128027E-3</v>
      </c>
    </row>
    <row r="65" spans="1:6">
      <c r="A65" s="22"/>
      <c r="B65" s="22" t="s">
        <v>110</v>
      </c>
      <c r="C65" s="19">
        <v>294470</v>
      </c>
      <c r="D65" s="20">
        <v>3.4432722562059291E-3</v>
      </c>
      <c r="E65" s="19">
        <v>311180</v>
      </c>
      <c r="F65" s="20">
        <v>3.4432722562059291E-3</v>
      </c>
    </row>
    <row r="66" spans="1:6">
      <c r="A66" s="22"/>
      <c r="B66" s="22" t="s">
        <v>142</v>
      </c>
      <c r="C66" s="19">
        <v>190840</v>
      </c>
      <c r="D66" s="20">
        <v>2.2315145086913421E-3</v>
      </c>
      <c r="E66" s="19">
        <v>225500</v>
      </c>
      <c r="F66" s="20">
        <v>2.2315145086913421E-3</v>
      </c>
    </row>
    <row r="67" spans="1:6">
      <c r="A67" s="22"/>
      <c r="B67" s="22"/>
      <c r="C67" s="19"/>
      <c r="D67" s="20"/>
      <c r="E67" s="19"/>
      <c r="F67" s="20"/>
    </row>
    <row r="68" spans="1:6" ht="15">
      <c r="A68" s="61" t="s">
        <v>66</v>
      </c>
      <c r="B68" s="61"/>
      <c r="C68" s="58">
        <v>1009148</v>
      </c>
      <c r="D68" s="59">
        <v>1.1800085953766771E-2</v>
      </c>
      <c r="E68" s="58">
        <v>873119</v>
      </c>
      <c r="F68" s="59">
        <v>1.1800085953766771E-2</v>
      </c>
    </row>
    <row r="69" spans="1:6">
      <c r="A69" s="22"/>
      <c r="B69" s="22" t="s">
        <v>65</v>
      </c>
      <c r="C69" s="19">
        <v>1009148</v>
      </c>
      <c r="D69" s="20">
        <v>1.1800085953766771E-2</v>
      </c>
      <c r="E69" s="19">
        <v>873119</v>
      </c>
      <c r="F69" s="20">
        <v>1.1800085953766771E-2</v>
      </c>
    </row>
    <row r="70" spans="1:6">
      <c r="A70" s="22"/>
      <c r="B70" s="22"/>
      <c r="C70" s="19"/>
      <c r="D70" s="20"/>
      <c r="E70" s="19"/>
      <c r="F70" s="20"/>
    </row>
    <row r="71" spans="1:6" ht="15">
      <c r="A71" s="61" t="s">
        <v>118</v>
      </c>
      <c r="B71" s="61"/>
      <c r="C71" s="58">
        <v>87269</v>
      </c>
      <c r="D71" s="59">
        <v>1.0204466550984318E-3</v>
      </c>
      <c r="E71" s="58">
        <v>75901</v>
      </c>
      <c r="F71" s="59">
        <v>1.0204466550984318E-3</v>
      </c>
    </row>
    <row r="72" spans="1:6">
      <c r="A72" s="22"/>
      <c r="B72" s="22" t="s">
        <v>30</v>
      </c>
      <c r="C72" s="19">
        <v>87269</v>
      </c>
      <c r="D72" s="20">
        <v>1.0204466550984318E-3</v>
      </c>
      <c r="E72" s="19">
        <v>75901</v>
      </c>
      <c r="F72" s="20">
        <v>1.0204466550984318E-3</v>
      </c>
    </row>
    <row r="73" spans="1:6">
      <c r="A73" s="22"/>
      <c r="B73" s="22"/>
      <c r="C73" s="19"/>
      <c r="D73" s="20"/>
      <c r="E73" s="19"/>
      <c r="F73" s="20"/>
    </row>
    <row r="74" spans="1:6" ht="15">
      <c r="A74" s="61" t="s">
        <v>144</v>
      </c>
      <c r="B74" s="61"/>
      <c r="C74" s="58">
        <v>31724516</v>
      </c>
      <c r="D74" s="59">
        <v>0.37095848739892384</v>
      </c>
      <c r="E74" s="58">
        <v>29800270</v>
      </c>
      <c r="F74" s="59">
        <v>0.37095848739892384</v>
      </c>
    </row>
    <row r="75" spans="1:6">
      <c r="A75" s="22"/>
      <c r="B75" s="22" t="s">
        <v>5</v>
      </c>
      <c r="C75" s="19">
        <v>4023552</v>
      </c>
      <c r="D75" s="20">
        <v>4.7047865565259209E-2</v>
      </c>
      <c r="E75" s="19">
        <v>3794906</v>
      </c>
      <c r="F75" s="20">
        <v>4.7047865565259209E-2</v>
      </c>
    </row>
    <row r="76" spans="1:6">
      <c r="A76" s="22"/>
      <c r="B76" s="22" t="s">
        <v>67</v>
      </c>
      <c r="C76" s="19">
        <v>336259</v>
      </c>
      <c r="D76" s="20">
        <v>3.9319159357474433E-3</v>
      </c>
      <c r="E76" s="19">
        <v>278454</v>
      </c>
      <c r="F76" s="20">
        <v>3.9319159357474433E-3</v>
      </c>
    </row>
    <row r="77" spans="1:6">
      <c r="A77" s="22"/>
      <c r="B77" s="22" t="s">
        <v>8</v>
      </c>
      <c r="C77" s="19">
        <v>271752</v>
      </c>
      <c r="D77" s="20">
        <v>3.1776280170084342E-3</v>
      </c>
      <c r="E77" s="19">
        <v>223025</v>
      </c>
      <c r="F77" s="20">
        <v>3.1776280170084342E-3</v>
      </c>
    </row>
    <row r="78" spans="1:6">
      <c r="A78" s="22"/>
      <c r="B78" s="22" t="s">
        <v>9</v>
      </c>
      <c r="C78" s="19">
        <v>330213</v>
      </c>
      <c r="D78" s="20">
        <v>3.8612193484515518E-3</v>
      </c>
      <c r="E78" s="19">
        <v>342348</v>
      </c>
      <c r="F78" s="20">
        <v>3.8612193484515518E-3</v>
      </c>
    </row>
    <row r="79" spans="1:6">
      <c r="A79" s="22"/>
      <c r="B79" s="22" t="s">
        <v>68</v>
      </c>
      <c r="C79" s="19">
        <v>333278</v>
      </c>
      <c r="D79" s="20">
        <v>3.8970587530267925E-3</v>
      </c>
      <c r="E79" s="19">
        <v>224180</v>
      </c>
      <c r="F79" s="20">
        <v>3.8970587530267925E-3</v>
      </c>
    </row>
    <row r="80" spans="1:6">
      <c r="A80" s="22"/>
      <c r="B80" s="22" t="s">
        <v>69</v>
      </c>
      <c r="C80" s="19">
        <v>200680</v>
      </c>
      <c r="D80" s="20">
        <v>2.3465747830862427E-3</v>
      </c>
      <c r="E80" s="19">
        <v>166160</v>
      </c>
      <c r="F80" s="20">
        <v>2.3465747830862427E-3</v>
      </c>
    </row>
    <row r="81" spans="1:6">
      <c r="A81" s="22"/>
      <c r="B81" s="22" t="s">
        <v>12</v>
      </c>
      <c r="C81" s="19">
        <v>604061</v>
      </c>
      <c r="D81" s="20">
        <v>7.0633561393554853E-3</v>
      </c>
      <c r="E81" s="19">
        <v>426868</v>
      </c>
      <c r="F81" s="20">
        <v>7.0633561393554853E-3</v>
      </c>
    </row>
    <row r="82" spans="1:6">
      <c r="A82" s="22"/>
      <c r="B82" s="22" t="s">
        <v>70</v>
      </c>
      <c r="C82" s="19">
        <v>196130</v>
      </c>
      <c r="D82" s="20">
        <v>2.2933710992959176E-3</v>
      </c>
      <c r="E82" s="19">
        <v>178420</v>
      </c>
      <c r="F82" s="20">
        <v>2.2933710992959176E-3</v>
      </c>
    </row>
    <row r="83" spans="1:6">
      <c r="A83" s="22"/>
      <c r="B83" s="22" t="s">
        <v>13</v>
      </c>
      <c r="C83" s="19">
        <v>2263820</v>
      </c>
      <c r="D83" s="20">
        <v>2.6471112843563373E-2</v>
      </c>
      <c r="E83" s="19">
        <v>2256189</v>
      </c>
      <c r="F83" s="20">
        <v>2.6471112843563373E-2</v>
      </c>
    </row>
    <row r="84" spans="1:6">
      <c r="A84" s="22"/>
      <c r="B84" s="22" t="s">
        <v>71</v>
      </c>
      <c r="C84" s="19">
        <v>407496</v>
      </c>
      <c r="D84" s="20">
        <v>4.7648985340268662E-3</v>
      </c>
      <c r="E84" s="19">
        <v>387576</v>
      </c>
      <c r="F84" s="20">
        <v>4.7648985340268662E-3</v>
      </c>
    </row>
    <row r="85" spans="1:6">
      <c r="A85" s="22"/>
      <c r="B85" s="22" t="s">
        <v>72</v>
      </c>
      <c r="C85" s="19">
        <v>617424</v>
      </c>
      <c r="D85" s="20">
        <v>7.2196112660566089E-3</v>
      </c>
      <c r="E85" s="19">
        <v>598848</v>
      </c>
      <c r="F85" s="20">
        <v>7.2196112660566089E-3</v>
      </c>
    </row>
    <row r="86" spans="1:6">
      <c r="A86" s="22"/>
      <c r="B86" s="22" t="s">
        <v>73</v>
      </c>
      <c r="C86" s="19">
        <v>10705200</v>
      </c>
      <c r="D86" s="20">
        <v>0.1251771594971838</v>
      </c>
      <c r="E86" s="19">
        <v>10138494</v>
      </c>
      <c r="F86" s="20">
        <v>0.1251771594971838</v>
      </c>
    </row>
    <row r="87" spans="1:6">
      <c r="A87" s="22"/>
      <c r="B87" s="22" t="s">
        <v>74</v>
      </c>
      <c r="C87" s="19">
        <v>8403882</v>
      </c>
      <c r="D87" s="20">
        <v>9.8267578140484244E-2</v>
      </c>
      <c r="E87" s="19">
        <v>7665810</v>
      </c>
      <c r="F87" s="20">
        <v>9.8267578140484244E-2</v>
      </c>
    </row>
    <row r="88" spans="1:6">
      <c r="A88" s="22"/>
      <c r="B88" s="22" t="s">
        <v>75</v>
      </c>
      <c r="C88" s="19">
        <v>571680</v>
      </c>
      <c r="D88" s="20">
        <v>6.6847213075281204E-3</v>
      </c>
      <c r="E88" s="19">
        <v>694239</v>
      </c>
      <c r="F88" s="20">
        <v>6.6847213075281204E-3</v>
      </c>
    </row>
    <row r="89" spans="1:6">
      <c r="A89" s="22"/>
      <c r="B89" s="22" t="s">
        <v>109</v>
      </c>
      <c r="C89" s="19">
        <v>1449344</v>
      </c>
      <c r="D89" s="20">
        <v>1.6947349424044984E-2</v>
      </c>
      <c r="E89" s="19">
        <v>1452276</v>
      </c>
      <c r="F89" s="20">
        <v>1.6947349424044984E-2</v>
      </c>
    </row>
    <row r="90" spans="1:6">
      <c r="A90" s="22"/>
      <c r="B90" s="22" t="s">
        <v>123</v>
      </c>
      <c r="C90" s="19">
        <v>1009745</v>
      </c>
      <c r="D90" s="20">
        <v>1.1807066744804754E-2</v>
      </c>
      <c r="E90" s="19">
        <v>972477</v>
      </c>
      <c r="F90" s="20">
        <v>1.1807066744804754E-2</v>
      </c>
    </row>
    <row r="91" spans="1:6">
      <c r="A91" s="22"/>
      <c r="B91" s="22"/>
      <c r="C91" s="19"/>
      <c r="D91" s="20"/>
      <c r="E91" s="19"/>
      <c r="F91" s="20"/>
    </row>
    <row r="92" spans="1:6" ht="15">
      <c r="A92" s="60" t="s">
        <v>84</v>
      </c>
      <c r="B92" s="61"/>
      <c r="C92" s="58">
        <v>85520394</v>
      </c>
      <c r="D92" s="59">
        <v>1</v>
      </c>
      <c r="E92" s="58">
        <v>80613491</v>
      </c>
      <c r="F92" s="59">
        <v>1</v>
      </c>
    </row>
    <row r="93" spans="1:6">
      <c r="B93"/>
      <c r="D93"/>
      <c r="E93"/>
    </row>
    <row r="94" spans="1:6">
      <c r="B94"/>
      <c r="D94"/>
      <c r="E94"/>
    </row>
    <row r="95" spans="1:6">
      <c r="B95"/>
      <c r="D95"/>
      <c r="E95"/>
    </row>
    <row r="96" spans="1:6">
      <c r="B96"/>
      <c r="D96"/>
      <c r="E96"/>
    </row>
    <row r="97" spans="2:5">
      <c r="B97"/>
      <c r="D97"/>
      <c r="E97"/>
    </row>
    <row r="98" spans="2:5">
      <c r="B98"/>
      <c r="D98"/>
      <c r="E98"/>
    </row>
    <row r="99" spans="2:5">
      <c r="B99"/>
      <c r="D99"/>
      <c r="E99"/>
    </row>
    <row r="100" spans="2:5">
      <c r="B100"/>
      <c r="D100"/>
      <c r="E100"/>
    </row>
    <row r="101" spans="2:5">
      <c r="B101"/>
      <c r="D101"/>
      <c r="E101"/>
    </row>
    <row r="102" spans="2:5">
      <c r="B102"/>
      <c r="D102"/>
      <c r="E102"/>
    </row>
    <row r="103" spans="2:5">
      <c r="B103"/>
      <c r="D103"/>
      <c r="E103"/>
    </row>
    <row r="104" spans="2:5">
      <c r="B104"/>
      <c r="D104"/>
      <c r="E104"/>
    </row>
    <row r="105" spans="2:5">
      <c r="B105"/>
      <c r="D105"/>
    </row>
    <row r="106" spans="2:5">
      <c r="B106"/>
      <c r="D106"/>
    </row>
    <row r="107" spans="2:5">
      <c r="B107"/>
      <c r="D107"/>
    </row>
    <row r="108" spans="2:5">
      <c r="B108"/>
      <c r="D108"/>
    </row>
    <row r="109" spans="2:5">
      <c r="B109"/>
      <c r="D109"/>
    </row>
    <row r="110" spans="2:5">
      <c r="B110"/>
      <c r="D110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baseColWidth="10" defaultRowHeight="12.75"/>
  <cols>
    <col min="2" max="2" width="12.85546875" style="24" customWidth="1"/>
    <col min="4" max="4" width="12.85546875" style="24" bestFit="1" customWidth="1"/>
  </cols>
  <sheetData>
    <row r="1" spans="1:6" ht="18">
      <c r="A1" s="1" t="s">
        <v>98</v>
      </c>
    </row>
    <row r="2" spans="1:6" ht="18" customHeight="1">
      <c r="A2" s="35" t="s">
        <v>92</v>
      </c>
      <c r="B2" s="28" t="s">
        <v>116</v>
      </c>
      <c r="C2" s="29" t="s">
        <v>117</v>
      </c>
      <c r="D2" s="28" t="s">
        <v>130</v>
      </c>
      <c r="E2" s="29" t="s">
        <v>129</v>
      </c>
      <c r="F2" s="38" t="s">
        <v>93</v>
      </c>
    </row>
    <row r="3" spans="1:6" ht="18" customHeight="1">
      <c r="A3" s="36" t="s">
        <v>6</v>
      </c>
      <c r="B3" s="33">
        <f>ROUND(GETPIVOTDATA("Opplag 2008",Marked!$A$3,"Type","Familie"),-3)</f>
        <v>22993000</v>
      </c>
      <c r="C3" s="34">
        <f t="shared" ref="C3:C11" si="0">B3/$B$11</f>
        <v>0.26886108512628626</v>
      </c>
      <c r="D3" s="33">
        <f>ROUND(GETPIVOTDATA("Opplag 2009",Marked!$A$3,"Type","Familie"),-3)</f>
        <v>21905000</v>
      </c>
      <c r="E3" s="34">
        <f t="shared" ref="E3:E11" si="1">D3/$D$11</f>
        <v>0.27173036606998874</v>
      </c>
      <c r="F3" s="39">
        <f t="shared" ref="F3:F11" si="2">IF(B3=0,0,(D3-B3)/B3)</f>
        <v>-4.7318749184534423E-2</v>
      </c>
    </row>
    <row r="4" spans="1:6" ht="18" customHeight="1">
      <c r="A4" s="36" t="s">
        <v>10</v>
      </c>
      <c r="B4" s="33">
        <f>ROUND(GETPIVOTDATA("Opplag 2008",Marked!$A$3,"Type","Kvinne"),-3)</f>
        <v>8610000</v>
      </c>
      <c r="C4" s="34">
        <f t="shared" si="0"/>
        <v>0.10067820392890552</v>
      </c>
      <c r="D4" s="33">
        <f>ROUND(GETPIVOTDATA("Opplag 2009",Marked!$A$3,"Type","Kvinne"),-3)</f>
        <v>8713000</v>
      </c>
      <c r="E4" s="34">
        <f t="shared" si="1"/>
        <v>0.10808430402044335</v>
      </c>
      <c r="F4" s="39">
        <f t="shared" si="2"/>
        <v>1.1962833914053426E-2</v>
      </c>
    </row>
    <row r="5" spans="1:6" ht="18" customHeight="1">
      <c r="A5" s="36" t="s">
        <v>48</v>
      </c>
      <c r="B5" s="33">
        <f>ROUND(GETPIVOTDATA("Opplag 2008",Marked!$A$3,"Type","Aktualitet"),-3)</f>
        <v>26751000</v>
      </c>
      <c r="C5" s="34">
        <f t="shared" si="0"/>
        <v>0.31280402245088867</v>
      </c>
      <c r="D5" s="33">
        <f>ROUND(GETPIVOTDATA("Opplag 2009",Marked!$A$3,"Type","Aktualitet"),-3)</f>
        <v>24959000</v>
      </c>
      <c r="E5" s="34">
        <f t="shared" si="1"/>
        <v>0.30961507449170728</v>
      </c>
      <c r="F5" s="39">
        <f t="shared" si="2"/>
        <v>-6.6988149975701849E-2</v>
      </c>
    </row>
    <row r="6" spans="1:6" ht="18" customHeight="1">
      <c r="A6" s="36" t="s">
        <v>114</v>
      </c>
      <c r="B6" s="33">
        <f>ROUND(GETPIVOTDATA("Opplag 2008",Marked!$A$3,"Type","Bolig"),-3)</f>
        <v>3319000</v>
      </c>
      <c r="C6" s="34">
        <f t="shared" si="0"/>
        <v>3.880963517305893E-2</v>
      </c>
      <c r="D6" s="33">
        <f>ROUND(GETPIVOTDATA("Opplag 2009",Marked!$A$3,"Type","Bolig"),-3)</f>
        <v>3172000</v>
      </c>
      <c r="E6" s="34">
        <f t="shared" si="1"/>
        <v>3.9348492178680861E-2</v>
      </c>
      <c r="F6" s="39">
        <f t="shared" si="2"/>
        <v>-4.4290448930400725E-2</v>
      </c>
    </row>
    <row r="7" spans="1:6" ht="18" customHeight="1">
      <c r="A7" s="36" t="s">
        <v>112</v>
      </c>
      <c r="B7" s="33">
        <f>ROUND(GETPIVOTDATA("Opplag 2008",Marked!$A$3,"Type","Bil/Båt"),-3)</f>
        <v>1692000</v>
      </c>
      <c r="C7" s="34">
        <f t="shared" si="0"/>
        <v>1.9784845650140319E-2</v>
      </c>
      <c r="D7" s="33">
        <f>ROUND(GETPIVOTDATA("Opplag 2009",Marked!$A$3,"Type","Bil/Båt"),-3)</f>
        <v>1509000</v>
      </c>
      <c r="E7" s="34">
        <f t="shared" si="1"/>
        <v>1.8719065163187078E-2</v>
      </c>
      <c r="F7" s="39">
        <f t="shared" si="2"/>
        <v>-0.10815602836879433</v>
      </c>
    </row>
    <row r="8" spans="1:6" ht="18" customHeight="1">
      <c r="A8" s="36" t="s">
        <v>113</v>
      </c>
      <c r="B8" s="33">
        <f>ROUND(GETPIVOTDATA("Opplag 2008",Marked!$A$3,"Type","Friluftsliv"),-3)</f>
        <v>1172000</v>
      </c>
      <c r="C8" s="34">
        <f t="shared" si="0"/>
        <v>1.3704396632366698E-2</v>
      </c>
      <c r="D8" s="33">
        <f>ROUND(GETPIVOTDATA("Opplag 2009",Marked!$A$3,"Type","Friluftsliv"),-3)</f>
        <v>1165000</v>
      </c>
      <c r="E8" s="34">
        <f t="shared" si="1"/>
        <v>1.4451763363229255E-2</v>
      </c>
      <c r="F8" s="39">
        <f t="shared" si="2"/>
        <v>-5.9726962457337888E-3</v>
      </c>
    </row>
    <row r="9" spans="1:6" ht="18" customHeight="1">
      <c r="A9" s="36" t="s">
        <v>59</v>
      </c>
      <c r="B9" s="33">
        <f>ROUND(GETPIVOTDATA("Opplag 2008",Marked!$A$3,"Type","Mann"),-3)</f>
        <v>5244000</v>
      </c>
      <c r="C9" s="34">
        <f t="shared" si="0"/>
        <v>6.1318989710009354E-2</v>
      </c>
      <c r="D9" s="33">
        <f>ROUND(GETPIVOTDATA("Opplag 2009",Marked!$A$3,"Type","Mann"),-3)</f>
        <v>4908000</v>
      </c>
      <c r="E9" s="34">
        <f t="shared" si="1"/>
        <v>6.0883480331956383E-2</v>
      </c>
      <c r="F9" s="39">
        <f t="shared" si="2"/>
        <v>-6.4073226544622428E-2</v>
      </c>
    </row>
    <row r="10" spans="1:6" ht="18" customHeight="1">
      <c r="A10" s="36" t="s">
        <v>7</v>
      </c>
      <c r="B10" s="33">
        <f>ROUND(GETPIVOTDATA("Opplag 2008",Marked!$A$3,"Type","Annet"),-3)</f>
        <v>15739000</v>
      </c>
      <c r="C10" s="34">
        <f t="shared" si="0"/>
        <v>0.18403882132834426</v>
      </c>
      <c r="D10" s="33">
        <f>ROUND(GETPIVOTDATA("Opplag 2009",Marked!$A$3,"Type","Annet"),-3)</f>
        <v>14283000</v>
      </c>
      <c r="E10" s="34">
        <f t="shared" si="1"/>
        <v>0.17717985932789998</v>
      </c>
      <c r="F10" s="39">
        <f t="shared" si="2"/>
        <v>-9.2509053942435984E-2</v>
      </c>
    </row>
    <row r="11" spans="1:6" ht="18" customHeight="1">
      <c r="A11" s="37" t="s">
        <v>76</v>
      </c>
      <c r="B11" s="30">
        <f>ROUND(GETPIVOTDATA("Opplag 2008",Marked!$A$3),-3)</f>
        <v>85520000</v>
      </c>
      <c r="C11" s="31">
        <f t="shared" si="0"/>
        <v>1</v>
      </c>
      <c r="D11" s="30">
        <f>ROUND(GETPIVOTDATA("Opplag 2009",Marked!$A$3),-3)</f>
        <v>80613000</v>
      </c>
      <c r="E11" s="31">
        <f t="shared" si="1"/>
        <v>1</v>
      </c>
      <c r="F11" s="40">
        <f t="shared" si="2"/>
        <v>-5.737839101964453E-2</v>
      </c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1"/>
  <headerFooter alignWithMargins="0">
    <oddHeader>&amp;R&amp;F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pane ySplit="3" topLeftCell="A4" activePane="bottomLeft" state="frozen"/>
      <selection pane="bottomLeft" activeCell="D12" sqref="D12"/>
    </sheetView>
  </sheetViews>
  <sheetFormatPr baseColWidth="10" defaultRowHeight="12.75"/>
  <cols>
    <col min="1" max="1" width="9.85546875" customWidth="1"/>
    <col min="2" max="2" width="9.5703125" style="24" customWidth="1"/>
    <col min="3" max="3" width="12.7109375" customWidth="1"/>
    <col min="4" max="4" width="10.85546875" style="24" customWidth="1"/>
    <col min="5" max="5" width="12.7109375" style="16" customWidth="1"/>
    <col min="6" max="6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6" ht="18">
      <c r="A1" s="1" t="s">
        <v>102</v>
      </c>
      <c r="B1"/>
    </row>
    <row r="3" spans="1:6">
      <c r="A3" s="21" t="s">
        <v>4</v>
      </c>
      <c r="B3" s="21" t="s">
        <v>1</v>
      </c>
      <c r="C3" s="23" t="s">
        <v>116</v>
      </c>
      <c r="D3" s="23" t="s">
        <v>117</v>
      </c>
      <c r="E3" s="23" t="s">
        <v>130</v>
      </c>
      <c r="F3" s="23" t="s">
        <v>129</v>
      </c>
    </row>
    <row r="4" spans="1:6" ht="15">
      <c r="A4" s="62" t="s">
        <v>48</v>
      </c>
      <c r="B4" s="61"/>
      <c r="C4" s="58">
        <v>26751210</v>
      </c>
      <c r="D4" s="59">
        <v>0.31280503688979733</v>
      </c>
      <c r="E4" s="58">
        <v>24959410</v>
      </c>
      <c r="F4" s="59">
        <v>0.30961827468804198</v>
      </c>
    </row>
    <row r="5" spans="1:6" ht="15" customHeight="1">
      <c r="A5" s="25"/>
      <c r="B5" s="22" t="s">
        <v>43</v>
      </c>
      <c r="C5" s="19">
        <v>7642128</v>
      </c>
      <c r="D5" s="20">
        <v>8.9360299252129266E-2</v>
      </c>
      <c r="E5" s="19">
        <v>7155106</v>
      </c>
      <c r="F5" s="20">
        <v>8.8758170763253513E-2</v>
      </c>
    </row>
    <row r="6" spans="1:6" ht="15" customHeight="1">
      <c r="A6" s="25"/>
      <c r="B6" s="22" t="s">
        <v>144</v>
      </c>
      <c r="C6" s="19">
        <v>19109082</v>
      </c>
      <c r="D6" s="20">
        <v>0.22344473763766803</v>
      </c>
      <c r="E6" s="19">
        <v>17804304</v>
      </c>
      <c r="F6" s="20">
        <v>0.22086010392478847</v>
      </c>
    </row>
    <row r="7" spans="1:6" ht="15" customHeight="1">
      <c r="A7" s="22"/>
      <c r="B7" s="22"/>
      <c r="C7" s="19"/>
      <c r="D7" s="20"/>
      <c r="E7" s="19"/>
      <c r="F7" s="20"/>
    </row>
    <row r="8" spans="1:6" ht="15">
      <c r="A8" s="62" t="s">
        <v>7</v>
      </c>
      <c r="B8" s="61"/>
      <c r="C8" s="58">
        <v>15739109</v>
      </c>
      <c r="D8" s="59">
        <v>0.18403924799504548</v>
      </c>
      <c r="E8" s="58">
        <v>14282754</v>
      </c>
      <c r="F8" s="59">
        <v>0.17717572856384547</v>
      </c>
    </row>
    <row r="9" spans="1:6" ht="15" customHeight="1">
      <c r="A9" s="25"/>
      <c r="B9" s="22" t="s">
        <v>21</v>
      </c>
      <c r="C9" s="19">
        <v>3231678</v>
      </c>
      <c r="D9" s="20">
        <v>3.778838998332959E-2</v>
      </c>
      <c r="E9" s="19">
        <v>2819226</v>
      </c>
      <c r="F9" s="20">
        <v>3.4972136363626775E-2</v>
      </c>
    </row>
    <row r="10" spans="1:6" ht="15" customHeight="1">
      <c r="A10" s="25"/>
      <c r="B10" s="22" t="s">
        <v>31</v>
      </c>
      <c r="C10" s="19">
        <v>6881522</v>
      </c>
      <c r="D10" s="20">
        <v>8.0466444062453693E-2</v>
      </c>
      <c r="E10" s="19">
        <v>6181430</v>
      </c>
      <c r="F10" s="20">
        <v>7.6679845064643093E-2</v>
      </c>
    </row>
    <row r="11" spans="1:6" ht="15" customHeight="1">
      <c r="A11" s="25"/>
      <c r="B11" s="22" t="s">
        <v>43</v>
      </c>
      <c r="C11" s="19">
        <v>1278943</v>
      </c>
      <c r="D11" s="20">
        <v>1.4954830540186707E-2</v>
      </c>
      <c r="E11" s="19">
        <v>1175185</v>
      </c>
      <c r="F11" s="20">
        <v>1.4578018957149493E-2</v>
      </c>
    </row>
    <row r="12" spans="1:6" ht="15" customHeight="1">
      <c r="A12" s="25"/>
      <c r="B12" s="22" t="s">
        <v>66</v>
      </c>
      <c r="C12" s="19">
        <v>1009148</v>
      </c>
      <c r="D12" s="20">
        <v>1.1800085953766771E-2</v>
      </c>
      <c r="E12" s="19">
        <v>873119</v>
      </c>
      <c r="F12" s="20">
        <v>1.0830929031469434E-2</v>
      </c>
    </row>
    <row r="13" spans="1:6" ht="15" customHeight="1">
      <c r="A13" s="25"/>
      <c r="B13" s="22" t="s">
        <v>106</v>
      </c>
      <c r="C13" s="19">
        <v>174036</v>
      </c>
      <c r="D13" s="20">
        <v>2.0350233653039533E-3</v>
      </c>
      <c r="E13" s="19">
        <v>134292</v>
      </c>
      <c r="F13" s="20">
        <v>1.6658750084399645E-3</v>
      </c>
    </row>
    <row r="14" spans="1:6" ht="15" customHeight="1">
      <c r="A14" s="25"/>
      <c r="B14" s="22" t="s">
        <v>118</v>
      </c>
      <c r="C14" s="19">
        <v>87269</v>
      </c>
      <c r="D14" s="20">
        <v>1.0204466550984318E-3</v>
      </c>
      <c r="E14" s="19">
        <v>75901</v>
      </c>
      <c r="F14" s="20">
        <v>9.415421545259713E-4</v>
      </c>
    </row>
    <row r="15" spans="1:6" ht="15" customHeight="1">
      <c r="A15" s="25"/>
      <c r="B15" s="22" t="s">
        <v>144</v>
      </c>
      <c r="C15" s="19">
        <v>3076513</v>
      </c>
      <c r="D15" s="20">
        <v>3.5974027434906346E-2</v>
      </c>
      <c r="E15" s="19">
        <v>3023601</v>
      </c>
      <c r="F15" s="20">
        <v>3.7507381983990742E-2</v>
      </c>
    </row>
    <row r="16" spans="1:6" ht="15" customHeight="1">
      <c r="A16" s="22"/>
      <c r="B16" s="22"/>
      <c r="C16" s="19"/>
      <c r="D16" s="20"/>
      <c r="E16" s="19"/>
      <c r="F16" s="20"/>
    </row>
    <row r="17" spans="1:6" ht="15">
      <c r="A17" s="62" t="s">
        <v>112</v>
      </c>
      <c r="B17" s="61"/>
      <c r="C17" s="58">
        <v>1691565</v>
      </c>
      <c r="D17" s="59">
        <v>1.9779667993578234E-2</v>
      </c>
      <c r="E17" s="58">
        <v>1508799</v>
      </c>
      <c r="F17" s="59">
        <v>1.871645777007722E-2</v>
      </c>
    </row>
    <row r="18" spans="1:6">
      <c r="A18" s="25"/>
      <c r="B18" s="22" t="s">
        <v>16</v>
      </c>
      <c r="C18" s="19">
        <v>460250</v>
      </c>
      <c r="D18" s="20">
        <v>5.3817572449444051E-3</v>
      </c>
      <c r="E18" s="19">
        <v>454230</v>
      </c>
      <c r="F18" s="20">
        <v>5.6346647982283759E-3</v>
      </c>
    </row>
    <row r="19" spans="1:6">
      <c r="A19" s="25"/>
      <c r="B19" s="22" t="s">
        <v>43</v>
      </c>
      <c r="C19" s="19">
        <v>422624</v>
      </c>
      <c r="D19" s="20">
        <v>4.9417920127917091E-3</v>
      </c>
      <c r="E19" s="19">
        <v>386930</v>
      </c>
      <c r="F19" s="20">
        <v>4.7998169437917038E-3</v>
      </c>
    </row>
    <row r="20" spans="1:6">
      <c r="A20" s="25"/>
      <c r="B20" s="22" t="s">
        <v>144</v>
      </c>
      <c r="C20" s="19">
        <v>808691</v>
      </c>
      <c r="D20" s="20">
        <v>9.4561187358421193E-3</v>
      </c>
      <c r="E20" s="19">
        <v>667639</v>
      </c>
      <c r="F20" s="20">
        <v>8.2819760280571399E-3</v>
      </c>
    </row>
    <row r="21" spans="1:6">
      <c r="A21" s="22"/>
      <c r="B21" s="22"/>
      <c r="C21" s="19"/>
      <c r="D21" s="20"/>
      <c r="E21" s="19"/>
      <c r="F21" s="20"/>
    </row>
    <row r="22" spans="1:6" ht="15">
      <c r="A22" s="62" t="s">
        <v>114</v>
      </c>
      <c r="B22" s="61"/>
      <c r="C22" s="58">
        <v>3318906</v>
      </c>
      <c r="D22" s="59">
        <v>3.8808357220618046E-2</v>
      </c>
      <c r="E22" s="58">
        <v>3172298</v>
      </c>
      <c r="F22" s="59">
        <v>3.9351949166920461E-2</v>
      </c>
    </row>
    <row r="23" spans="1:6">
      <c r="A23" s="25"/>
      <c r="B23" s="22" t="s">
        <v>21</v>
      </c>
      <c r="C23" s="19">
        <v>1236558</v>
      </c>
      <c r="D23" s="20">
        <v>1.4459217762724526E-2</v>
      </c>
      <c r="E23" s="19">
        <v>1240398</v>
      </c>
      <c r="F23" s="20">
        <v>1.5386977844688551E-2</v>
      </c>
    </row>
    <row r="24" spans="1:6">
      <c r="A24" s="25"/>
      <c r="B24" s="22" t="s">
        <v>43</v>
      </c>
      <c r="C24" s="19">
        <v>1876638</v>
      </c>
      <c r="D24" s="20">
        <v>2.1943748294705002E-2</v>
      </c>
      <c r="E24" s="19">
        <v>1712945</v>
      </c>
      <c r="F24" s="20">
        <v>2.1248862674859224E-2</v>
      </c>
    </row>
    <row r="25" spans="1:6">
      <c r="A25" s="25"/>
      <c r="B25" s="22" t="s">
        <v>106</v>
      </c>
      <c r="C25" s="19">
        <v>205710</v>
      </c>
      <c r="D25" s="20">
        <v>2.4053911631885137E-3</v>
      </c>
      <c r="E25" s="19">
        <v>218955</v>
      </c>
      <c r="F25" s="20">
        <v>2.7161086473726837E-3</v>
      </c>
    </row>
    <row r="26" spans="1:6">
      <c r="A26" s="22"/>
      <c r="B26" s="22"/>
      <c r="C26" s="19"/>
      <c r="D26" s="20"/>
      <c r="E26" s="19"/>
      <c r="F26" s="20"/>
    </row>
    <row r="27" spans="1:6" ht="15">
      <c r="A27" s="62" t="s">
        <v>6</v>
      </c>
      <c r="B27" s="61"/>
      <c r="C27" s="58">
        <v>22993282</v>
      </c>
      <c r="D27" s="59">
        <v>0.2688631439186307</v>
      </c>
      <c r="E27" s="58">
        <v>21904879</v>
      </c>
      <c r="F27" s="59">
        <v>0.2717272100274134</v>
      </c>
    </row>
    <row r="28" spans="1:6">
      <c r="A28" s="25"/>
      <c r="B28" s="22" t="s">
        <v>43</v>
      </c>
      <c r="C28" s="19">
        <v>18969730</v>
      </c>
      <c r="D28" s="20">
        <v>0.22181527835337148</v>
      </c>
      <c r="E28" s="19">
        <v>18109973</v>
      </c>
      <c r="F28" s="20">
        <v>0.22465188860261615</v>
      </c>
    </row>
    <row r="29" spans="1:6">
      <c r="A29" s="25"/>
      <c r="B29" s="22" t="s">
        <v>144</v>
      </c>
      <c r="C29" s="19">
        <v>4023552</v>
      </c>
      <c r="D29" s="20">
        <v>4.7047865565259209E-2</v>
      </c>
      <c r="E29" s="19">
        <v>3794906</v>
      </c>
      <c r="F29" s="20">
        <v>4.7075321424797249E-2</v>
      </c>
    </row>
    <row r="30" spans="1:6">
      <c r="A30" s="22"/>
      <c r="B30" s="22"/>
      <c r="C30" s="19"/>
      <c r="D30" s="20"/>
      <c r="E30" s="19"/>
      <c r="F30" s="20"/>
    </row>
    <row r="31" spans="1:6" ht="15">
      <c r="A31" s="62" t="s">
        <v>113</v>
      </c>
      <c r="B31" s="61"/>
      <c r="C31" s="58">
        <v>1171720</v>
      </c>
      <c r="D31" s="59">
        <v>1.3701059422153737E-2</v>
      </c>
      <c r="E31" s="58">
        <v>1164872</v>
      </c>
      <c r="F31" s="59">
        <v>1.4450087516988936E-2</v>
      </c>
    </row>
    <row r="32" spans="1:6">
      <c r="A32" s="25"/>
      <c r="B32" s="22" t="s">
        <v>38</v>
      </c>
      <c r="C32" s="19">
        <v>159278</v>
      </c>
      <c r="D32" s="20">
        <v>1.8624563399462356E-3</v>
      </c>
      <c r="E32" s="19">
        <v>210924</v>
      </c>
      <c r="F32" s="20">
        <v>2.6164851240594454E-3</v>
      </c>
    </row>
    <row r="33" spans="1:6">
      <c r="A33" s="25"/>
      <c r="B33" s="22" t="s">
        <v>43</v>
      </c>
      <c r="C33" s="19">
        <v>816312</v>
      </c>
      <c r="D33" s="20">
        <v>9.545231982911585E-3</v>
      </c>
      <c r="E33" s="19">
        <v>775528</v>
      </c>
      <c r="F33" s="20">
        <v>9.6203252133070377E-3</v>
      </c>
    </row>
    <row r="34" spans="1:6">
      <c r="A34" s="25"/>
      <c r="B34" s="22" t="s">
        <v>144</v>
      </c>
      <c r="C34" s="19">
        <v>196130</v>
      </c>
      <c r="D34" s="20">
        <v>2.2933710992959176E-3</v>
      </c>
      <c r="E34" s="19">
        <v>178420</v>
      </c>
      <c r="F34" s="20">
        <v>2.2132771796224532E-3</v>
      </c>
    </row>
    <row r="35" spans="1:6">
      <c r="A35" s="22"/>
      <c r="B35" s="22"/>
      <c r="C35" s="19"/>
      <c r="D35" s="20"/>
      <c r="E35" s="19"/>
      <c r="F35" s="20"/>
    </row>
    <row r="36" spans="1:6" ht="15">
      <c r="A36" s="62" t="s">
        <v>10</v>
      </c>
      <c r="B36" s="61"/>
      <c r="C36" s="58">
        <v>8610496</v>
      </c>
      <c r="D36" s="59">
        <v>0.10068353988172693</v>
      </c>
      <c r="E36" s="58">
        <v>8712830</v>
      </c>
      <c r="F36" s="59">
        <v>0.10808153687327596</v>
      </c>
    </row>
    <row r="37" spans="1:6">
      <c r="A37" s="25"/>
      <c r="B37" s="22" t="s">
        <v>18</v>
      </c>
      <c r="C37" s="19">
        <v>757512</v>
      </c>
      <c r="D37" s="20">
        <v>8.8576766846981559E-3</v>
      </c>
      <c r="E37" s="19">
        <v>816684</v>
      </c>
      <c r="F37" s="20">
        <v>1.0130860106281715E-2</v>
      </c>
    </row>
    <row r="38" spans="1:6">
      <c r="A38" s="25"/>
      <c r="B38" s="22" t="s">
        <v>21</v>
      </c>
      <c r="C38" s="19">
        <v>464448</v>
      </c>
      <c r="D38" s="20">
        <v>5.4308449514393021E-3</v>
      </c>
      <c r="E38" s="19">
        <v>612480</v>
      </c>
      <c r="F38" s="20">
        <v>7.5977357189505662E-3</v>
      </c>
    </row>
    <row r="39" spans="1:6">
      <c r="A39" s="25"/>
      <c r="B39" s="22" t="s">
        <v>43</v>
      </c>
      <c r="C39" s="19">
        <v>2877988</v>
      </c>
      <c r="D39" s="20">
        <v>3.3652651319637281E-2</v>
      </c>
      <c r="E39" s="19">
        <v>2952266</v>
      </c>
      <c r="F39" s="20">
        <v>3.662248047290248E-2</v>
      </c>
    </row>
    <row r="40" spans="1:6">
      <c r="A40" s="25"/>
      <c r="B40" s="22" t="s">
        <v>144</v>
      </c>
      <c r="C40" s="19">
        <v>4510548</v>
      </c>
      <c r="D40" s="20">
        <v>5.2742366925952189E-2</v>
      </c>
      <c r="E40" s="19">
        <v>4331400</v>
      </c>
      <c r="F40" s="20">
        <v>5.3730460575141199E-2</v>
      </c>
    </row>
    <row r="41" spans="1:6">
      <c r="A41" s="22"/>
      <c r="B41" s="22"/>
      <c r="C41" s="19"/>
      <c r="D41" s="20"/>
      <c r="E41" s="19"/>
      <c r="F41" s="20"/>
    </row>
    <row r="42" spans="1:6" ht="15">
      <c r="A42" s="62" t="s">
        <v>59</v>
      </c>
      <c r="B42" s="61"/>
      <c r="C42" s="58">
        <v>5244106</v>
      </c>
      <c r="D42" s="59">
        <v>6.1319946678449588E-2</v>
      </c>
      <c r="E42" s="58">
        <v>4907649</v>
      </c>
      <c r="F42" s="59">
        <v>6.0878755393436568E-2</v>
      </c>
    </row>
    <row r="43" spans="1:6">
      <c r="A43" s="25"/>
      <c r="B43" s="22" t="s">
        <v>18</v>
      </c>
      <c r="C43" s="19">
        <v>607776</v>
      </c>
      <c r="D43" s="20">
        <v>7.1067960701864871E-3</v>
      </c>
      <c r="E43" s="19">
        <v>572652</v>
      </c>
      <c r="F43" s="20">
        <v>7.103674495376959E-3</v>
      </c>
    </row>
    <row r="44" spans="1:6">
      <c r="A44" s="25"/>
      <c r="B44" s="22" t="s">
        <v>43</v>
      </c>
      <c r="C44" s="19">
        <v>4636330</v>
      </c>
      <c r="D44" s="20">
        <v>5.4213150608263101E-2</v>
      </c>
      <c r="E44" s="19">
        <v>4334997</v>
      </c>
      <c r="F44" s="20">
        <v>5.3775080898059609E-2</v>
      </c>
    </row>
    <row r="45" spans="1:6">
      <c r="A45" s="22"/>
      <c r="B45" s="22"/>
      <c r="C45" s="19"/>
      <c r="D45" s="20"/>
      <c r="E45" s="19"/>
      <c r="F45" s="20"/>
    </row>
    <row r="46" spans="1:6" ht="15">
      <c r="A46" s="60" t="s">
        <v>84</v>
      </c>
      <c r="B46" s="61"/>
      <c r="C46" s="58">
        <v>85520394</v>
      </c>
      <c r="D46" s="59">
        <v>1</v>
      </c>
      <c r="E46" s="58">
        <v>80613491</v>
      </c>
      <c r="F46" s="59">
        <v>1</v>
      </c>
    </row>
    <row r="47" spans="1:6">
      <c r="B47"/>
      <c r="D47"/>
      <c r="E47"/>
    </row>
    <row r="48" spans="1:6">
      <c r="B48"/>
      <c r="D48"/>
      <c r="E48"/>
    </row>
    <row r="49" spans="2:5">
      <c r="B49"/>
      <c r="D49"/>
      <c r="E49"/>
    </row>
    <row r="50" spans="2:5">
      <c r="B50"/>
      <c r="D50"/>
    </row>
    <row r="51" spans="2:5">
      <c r="B51"/>
      <c r="D51"/>
    </row>
    <row r="52" spans="2:5">
      <c r="B52"/>
      <c r="D52"/>
    </row>
    <row r="53" spans="2:5">
      <c r="B53"/>
      <c r="D53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126"/>
  <sheetViews>
    <sheetView workbookViewId="0">
      <pane ySplit="3" topLeftCell="A4" activePane="bottomLeft" state="frozen"/>
      <selection pane="bottomLeft" activeCell="L16" sqref="L16"/>
    </sheetView>
  </sheetViews>
  <sheetFormatPr baseColWidth="10" defaultRowHeight="12.75"/>
  <cols>
    <col min="1" max="1" width="9.85546875" customWidth="1"/>
    <col min="2" max="2" width="9.85546875" style="24" customWidth="1"/>
    <col min="3" max="3" width="23" customWidth="1"/>
    <col min="4" max="4" width="12.7109375" style="24" customWidth="1"/>
    <col min="5" max="5" width="10.85546875" customWidth="1"/>
    <col min="6" max="6" width="12.7109375" style="16" customWidth="1"/>
    <col min="7" max="7" width="10.85546875" style="54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7" ht="18">
      <c r="A1" s="1" t="s">
        <v>147</v>
      </c>
      <c r="B1"/>
    </row>
    <row r="3" spans="1:7">
      <c r="A3" s="21" t="s">
        <v>4</v>
      </c>
      <c r="B3" s="21" t="s">
        <v>1</v>
      </c>
      <c r="C3" s="21" t="s">
        <v>0</v>
      </c>
      <c r="D3" s="23" t="s">
        <v>116</v>
      </c>
      <c r="E3" s="23" t="s">
        <v>117</v>
      </c>
      <c r="F3" s="23" t="s">
        <v>130</v>
      </c>
      <c r="G3" s="23" t="s">
        <v>129</v>
      </c>
    </row>
    <row r="4" spans="1:7" ht="15">
      <c r="A4" s="62" t="s">
        <v>48</v>
      </c>
      <c r="B4" s="61"/>
      <c r="C4" s="61"/>
      <c r="D4" s="58">
        <v>26751210</v>
      </c>
      <c r="E4" s="59">
        <v>0.31280503688979733</v>
      </c>
      <c r="F4" s="58">
        <v>24959410</v>
      </c>
      <c r="G4" s="67">
        <v>0.30961827468804198</v>
      </c>
    </row>
    <row r="5" spans="1:7" ht="14.25">
      <c r="A5" s="25"/>
      <c r="B5" s="65" t="s">
        <v>43</v>
      </c>
      <c r="C5" s="65"/>
      <c r="D5" s="63">
        <v>7642128</v>
      </c>
      <c r="E5" s="64">
        <v>8.9360299252129266E-2</v>
      </c>
      <c r="F5" s="63">
        <v>7155106</v>
      </c>
      <c r="G5" s="68">
        <v>8.8758170763253513E-2</v>
      </c>
    </row>
    <row r="6" spans="1:7" ht="15" customHeight="1">
      <c r="A6" s="25"/>
      <c r="B6" s="22"/>
      <c r="C6" s="22" t="s">
        <v>53</v>
      </c>
      <c r="D6" s="19">
        <v>7642128</v>
      </c>
      <c r="E6" s="20">
        <v>8.9360299252129266E-2</v>
      </c>
      <c r="F6" s="19">
        <v>7155106</v>
      </c>
      <c r="G6" s="69">
        <v>8.8758170763253513E-2</v>
      </c>
    </row>
    <row r="7" spans="1:7" ht="14.25">
      <c r="A7" s="25"/>
      <c r="B7" s="65" t="s">
        <v>144</v>
      </c>
      <c r="C7" s="65"/>
      <c r="D7" s="63">
        <v>19109082</v>
      </c>
      <c r="E7" s="64">
        <v>0.22344473763766803</v>
      </c>
      <c r="F7" s="63">
        <v>17804304</v>
      </c>
      <c r="G7" s="68">
        <v>0.22086010392478847</v>
      </c>
    </row>
    <row r="8" spans="1:7" ht="15" customHeight="1">
      <c r="A8" s="25"/>
      <c r="B8" s="22"/>
      <c r="C8" s="22" t="s">
        <v>73</v>
      </c>
      <c r="D8" s="19">
        <v>10705200</v>
      </c>
      <c r="E8" s="20">
        <v>0.1251771594971838</v>
      </c>
      <c r="F8" s="19">
        <v>10138494</v>
      </c>
      <c r="G8" s="69">
        <v>0.12576671564812891</v>
      </c>
    </row>
    <row r="9" spans="1:7" ht="15" customHeight="1">
      <c r="A9" s="25"/>
      <c r="B9" s="22"/>
      <c r="C9" s="22" t="s">
        <v>74</v>
      </c>
      <c r="D9" s="19">
        <v>8403882</v>
      </c>
      <c r="E9" s="20">
        <v>9.8267578140484244E-2</v>
      </c>
      <c r="F9" s="19">
        <v>7665810</v>
      </c>
      <c r="G9" s="69">
        <v>9.5093388276659543E-2</v>
      </c>
    </row>
    <row r="10" spans="1:7" ht="15" customHeight="1">
      <c r="A10" s="22"/>
      <c r="B10" s="22"/>
      <c r="C10" s="22"/>
      <c r="D10" s="19"/>
      <c r="E10" s="20"/>
      <c r="F10" s="19"/>
      <c r="G10" s="69"/>
    </row>
    <row r="11" spans="1:7" ht="15">
      <c r="A11" s="62" t="s">
        <v>7</v>
      </c>
      <c r="B11" s="61"/>
      <c r="C11" s="61"/>
      <c r="D11" s="58">
        <v>15739109</v>
      </c>
      <c r="E11" s="59">
        <v>0.18403924799504548</v>
      </c>
      <c r="F11" s="58">
        <v>14282754</v>
      </c>
      <c r="G11" s="67">
        <v>0.17717572856384547</v>
      </c>
    </row>
    <row r="12" spans="1:7" ht="14.25">
      <c r="A12" s="25"/>
      <c r="B12" s="65" t="s">
        <v>21</v>
      </c>
      <c r="C12" s="65"/>
      <c r="D12" s="63">
        <v>3231678</v>
      </c>
      <c r="E12" s="64">
        <v>3.778838998332959E-2</v>
      </c>
      <c r="F12" s="63">
        <v>2819226</v>
      </c>
      <c r="G12" s="68">
        <v>3.4972136363626775E-2</v>
      </c>
    </row>
    <row r="13" spans="1:7" ht="15" customHeight="1">
      <c r="A13" s="25"/>
      <c r="B13" s="22"/>
      <c r="C13" s="22" t="s">
        <v>22</v>
      </c>
      <c r="D13" s="19">
        <v>220410</v>
      </c>
      <c r="E13" s="20">
        <v>2.5772799877418714E-3</v>
      </c>
      <c r="F13" s="19">
        <v>216792</v>
      </c>
      <c r="G13" s="69">
        <v>2.6892769102382628E-3</v>
      </c>
    </row>
    <row r="14" spans="1:7" ht="15" customHeight="1">
      <c r="A14" s="25"/>
      <c r="B14" s="22"/>
      <c r="C14" s="22" t="s">
        <v>24</v>
      </c>
      <c r="D14" s="19">
        <v>645894</v>
      </c>
      <c r="E14" s="20">
        <v>7.552514316058927E-3</v>
      </c>
      <c r="F14" s="19">
        <v>532782</v>
      </c>
      <c r="G14" s="69">
        <v>6.6090922671987991E-3</v>
      </c>
    </row>
    <row r="15" spans="1:7" ht="15" customHeight="1">
      <c r="A15" s="25"/>
      <c r="B15" s="22"/>
      <c r="C15" s="22" t="s">
        <v>25</v>
      </c>
      <c r="D15" s="19">
        <v>1357668</v>
      </c>
      <c r="E15" s="20">
        <v>1.5875371200932492E-2</v>
      </c>
      <c r="F15" s="19">
        <v>1164744</v>
      </c>
      <c r="G15" s="69">
        <v>1.4448499693432208E-2</v>
      </c>
    </row>
    <row r="16" spans="1:7" ht="15" customHeight="1">
      <c r="A16" s="25"/>
      <c r="B16" s="22"/>
      <c r="C16" s="22" t="s">
        <v>26</v>
      </c>
      <c r="D16" s="19">
        <v>313776</v>
      </c>
      <c r="E16" s="20">
        <v>3.6690195791193383E-3</v>
      </c>
      <c r="F16" s="19">
        <v>290862</v>
      </c>
      <c r="G16" s="69">
        <v>3.6081057449800801E-3</v>
      </c>
    </row>
    <row r="17" spans="1:7">
      <c r="A17" s="25"/>
      <c r="B17" s="22"/>
      <c r="C17" s="22" t="s">
        <v>27</v>
      </c>
      <c r="D17" s="19">
        <v>246810</v>
      </c>
      <c r="E17" s="20">
        <v>2.8859782848989213E-3</v>
      </c>
      <c r="F17" s="19">
        <v>179004</v>
      </c>
      <c r="G17" s="69">
        <v>2.2205216246000315E-3</v>
      </c>
    </row>
    <row r="18" spans="1:7">
      <c r="A18" s="25"/>
      <c r="B18" s="22"/>
      <c r="C18" s="22" t="s">
        <v>107</v>
      </c>
      <c r="D18" s="19">
        <v>447120</v>
      </c>
      <c r="E18" s="20">
        <v>5.2282266145780385E-3</v>
      </c>
      <c r="F18" s="19">
        <v>435042</v>
      </c>
      <c r="G18" s="69">
        <v>5.3966401231773974E-3</v>
      </c>
    </row>
    <row r="19" spans="1:7" ht="14.25">
      <c r="A19" s="25"/>
      <c r="B19" s="65" t="s">
        <v>31</v>
      </c>
      <c r="C19" s="65"/>
      <c r="D19" s="63">
        <v>6881522</v>
      </c>
      <c r="E19" s="64">
        <v>8.0466444062453693E-2</v>
      </c>
      <c r="F19" s="63">
        <v>6181430</v>
      </c>
      <c r="G19" s="68">
        <v>7.6679845064643093E-2</v>
      </c>
    </row>
    <row r="20" spans="1:7">
      <c r="A20" s="25"/>
      <c r="B20" s="22"/>
      <c r="C20" s="22" t="s">
        <v>32</v>
      </c>
      <c r="D20" s="19">
        <v>5159232</v>
      </c>
      <c r="E20" s="20">
        <v>6.0327505039324304E-2</v>
      </c>
      <c r="F20" s="19">
        <v>4634797</v>
      </c>
      <c r="G20" s="69">
        <v>5.7494061384836939E-2</v>
      </c>
    </row>
    <row r="21" spans="1:7">
      <c r="A21" s="25"/>
      <c r="B21" s="22"/>
      <c r="C21" s="22" t="s">
        <v>35</v>
      </c>
      <c r="D21" s="19">
        <v>318121</v>
      </c>
      <c r="E21" s="20">
        <v>3.7198261738597698E-3</v>
      </c>
      <c r="F21" s="19">
        <v>301988</v>
      </c>
      <c r="G21" s="69">
        <v>3.7461223457001757E-3</v>
      </c>
    </row>
    <row r="22" spans="1:7">
      <c r="A22" s="25"/>
      <c r="B22" s="22"/>
      <c r="C22" s="22" t="s">
        <v>36</v>
      </c>
      <c r="D22" s="19">
        <v>299884</v>
      </c>
      <c r="E22" s="20">
        <v>3.5065787933577573E-3</v>
      </c>
      <c r="F22" s="19">
        <v>171581</v>
      </c>
      <c r="G22" s="69">
        <v>2.1284402631812581E-3</v>
      </c>
    </row>
    <row r="23" spans="1:7">
      <c r="A23" s="25"/>
      <c r="B23" s="22"/>
      <c r="C23" s="22" t="s">
        <v>121</v>
      </c>
      <c r="D23" s="19">
        <v>1104285</v>
      </c>
      <c r="E23" s="20">
        <v>1.2912534055911857E-2</v>
      </c>
      <c r="F23" s="19">
        <v>1073064</v>
      </c>
      <c r="G23" s="69">
        <v>1.3311221070924717E-2</v>
      </c>
    </row>
    <row r="24" spans="1:7" ht="14.25">
      <c r="A24" s="25"/>
      <c r="B24" s="65" t="s">
        <v>43</v>
      </c>
      <c r="C24" s="65"/>
      <c r="D24" s="63">
        <v>1278943</v>
      </c>
      <c r="E24" s="64">
        <v>1.4954830540186707E-2</v>
      </c>
      <c r="F24" s="63">
        <v>1175185</v>
      </c>
      <c r="G24" s="68">
        <v>1.4578018957149493E-2</v>
      </c>
    </row>
    <row r="25" spans="1:7">
      <c r="A25" s="25"/>
      <c r="B25" s="22"/>
      <c r="C25" s="22" t="s">
        <v>45</v>
      </c>
      <c r="D25" s="19">
        <v>262863</v>
      </c>
      <c r="E25" s="20">
        <v>3.0736878971815776E-3</v>
      </c>
      <c r="F25" s="19">
        <v>252882</v>
      </c>
      <c r="G25" s="69">
        <v>3.1369687240067547E-3</v>
      </c>
    </row>
    <row r="26" spans="1:7">
      <c r="A26" s="25"/>
      <c r="B26" s="22"/>
      <c r="C26" s="22" t="s">
        <v>51</v>
      </c>
      <c r="D26" s="19">
        <v>614544</v>
      </c>
      <c r="E26" s="20">
        <v>7.1859350881849308E-3</v>
      </c>
      <c r="F26" s="19">
        <v>608832</v>
      </c>
      <c r="G26" s="69">
        <v>7.5524827475837763E-3</v>
      </c>
    </row>
    <row r="27" spans="1:7">
      <c r="A27" s="25"/>
      <c r="B27" s="22"/>
      <c r="C27" s="22" t="s">
        <v>52</v>
      </c>
      <c r="D27" s="19">
        <v>88816</v>
      </c>
      <c r="E27" s="20">
        <v>1.0385359075871423E-3</v>
      </c>
      <c r="F27" s="19">
        <v>70231</v>
      </c>
      <c r="G27" s="69">
        <v>8.7120653291147007E-4</v>
      </c>
    </row>
    <row r="28" spans="1:7">
      <c r="A28" s="25"/>
      <c r="B28" s="22"/>
      <c r="C28" s="22" t="s">
        <v>54</v>
      </c>
      <c r="D28" s="19">
        <v>312720</v>
      </c>
      <c r="E28" s="20">
        <v>3.6566716472330564E-3</v>
      </c>
      <c r="F28" s="19">
        <v>243240</v>
      </c>
      <c r="G28" s="69">
        <v>3.0173609526474919E-3</v>
      </c>
    </row>
    <row r="29" spans="1:7" ht="14.25">
      <c r="A29" s="25"/>
      <c r="B29" s="65" t="s">
        <v>66</v>
      </c>
      <c r="C29" s="65"/>
      <c r="D29" s="63">
        <v>1009148</v>
      </c>
      <c r="E29" s="64">
        <v>1.1800085953766771E-2</v>
      </c>
      <c r="F29" s="63">
        <v>873119</v>
      </c>
      <c r="G29" s="68">
        <v>1.0830929031469434E-2</v>
      </c>
    </row>
    <row r="30" spans="1:7">
      <c r="A30" s="25"/>
      <c r="B30" s="22"/>
      <c r="C30" s="22" t="s">
        <v>65</v>
      </c>
      <c r="D30" s="19">
        <v>1009148</v>
      </c>
      <c r="E30" s="20">
        <v>1.1800085953766771E-2</v>
      </c>
      <c r="F30" s="19">
        <v>873119</v>
      </c>
      <c r="G30" s="69">
        <v>1.0830929031469434E-2</v>
      </c>
    </row>
    <row r="31" spans="1:7" ht="14.25">
      <c r="A31" s="25"/>
      <c r="B31" s="65" t="s">
        <v>106</v>
      </c>
      <c r="C31" s="65"/>
      <c r="D31" s="63">
        <v>174036</v>
      </c>
      <c r="E31" s="64">
        <v>2.0350233653039533E-3</v>
      </c>
      <c r="F31" s="63">
        <v>134292</v>
      </c>
      <c r="G31" s="68">
        <v>1.6658750084399645E-3</v>
      </c>
    </row>
    <row r="32" spans="1:7">
      <c r="A32" s="25"/>
      <c r="B32" s="22"/>
      <c r="C32" s="22" t="s">
        <v>28</v>
      </c>
      <c r="D32" s="19">
        <v>174036</v>
      </c>
      <c r="E32" s="20">
        <v>2.0350233653039533E-3</v>
      </c>
      <c r="F32" s="19">
        <v>134292</v>
      </c>
      <c r="G32" s="69">
        <v>1.6658750084399645E-3</v>
      </c>
    </row>
    <row r="33" spans="1:7" ht="14.25">
      <c r="A33" s="25"/>
      <c r="B33" s="65" t="s">
        <v>118</v>
      </c>
      <c r="C33" s="65"/>
      <c r="D33" s="63">
        <v>87269</v>
      </c>
      <c r="E33" s="64">
        <v>1.0204466550984318E-3</v>
      </c>
      <c r="F33" s="63">
        <v>75901</v>
      </c>
      <c r="G33" s="68">
        <v>9.415421545259713E-4</v>
      </c>
    </row>
    <row r="34" spans="1:7">
      <c r="A34" s="25"/>
      <c r="B34" s="22"/>
      <c r="C34" s="22" t="s">
        <v>30</v>
      </c>
      <c r="D34" s="19">
        <v>87269</v>
      </c>
      <c r="E34" s="20">
        <v>1.0204466550984318E-3</v>
      </c>
      <c r="F34" s="19">
        <v>75901</v>
      </c>
      <c r="G34" s="69">
        <v>9.415421545259713E-4</v>
      </c>
    </row>
    <row r="35" spans="1:7" ht="14.25">
      <c r="A35" s="25"/>
      <c r="B35" s="65" t="s">
        <v>144</v>
      </c>
      <c r="C35" s="65"/>
      <c r="D35" s="63">
        <v>3076513</v>
      </c>
      <c r="E35" s="64">
        <v>3.5974027434906346E-2</v>
      </c>
      <c r="F35" s="63">
        <v>3023601</v>
      </c>
      <c r="G35" s="68">
        <v>3.7507381983990742E-2</v>
      </c>
    </row>
    <row r="36" spans="1:7">
      <c r="A36" s="25"/>
      <c r="B36" s="22"/>
      <c r="C36" s="22" t="s">
        <v>72</v>
      </c>
      <c r="D36" s="19">
        <v>617424</v>
      </c>
      <c r="E36" s="20">
        <v>7.2196112660566089E-3</v>
      </c>
      <c r="F36" s="19">
        <v>598848</v>
      </c>
      <c r="G36" s="69">
        <v>7.4286325101588762E-3</v>
      </c>
    </row>
    <row r="37" spans="1:7">
      <c r="A37" s="25"/>
      <c r="B37" s="22"/>
      <c r="C37" s="22" t="s">
        <v>109</v>
      </c>
      <c r="D37" s="19">
        <v>1449344</v>
      </c>
      <c r="E37" s="20">
        <v>1.6947349424044984E-2</v>
      </c>
      <c r="F37" s="19">
        <v>1452276</v>
      </c>
      <c r="G37" s="69">
        <v>1.8015297216194246E-2</v>
      </c>
    </row>
    <row r="38" spans="1:7">
      <c r="A38" s="25"/>
      <c r="B38" s="22"/>
      <c r="C38" s="22" t="s">
        <v>123</v>
      </c>
      <c r="D38" s="19">
        <v>1009745</v>
      </c>
      <c r="E38" s="20">
        <v>1.1807066744804754E-2</v>
      </c>
      <c r="F38" s="19">
        <v>972477</v>
      </c>
      <c r="G38" s="69">
        <v>1.206345225763762E-2</v>
      </c>
    </row>
    <row r="39" spans="1:7">
      <c r="A39" s="22"/>
      <c r="B39" s="22"/>
      <c r="C39" s="22"/>
      <c r="D39" s="19"/>
      <c r="E39" s="20"/>
      <c r="F39" s="19"/>
      <c r="G39" s="69"/>
    </row>
    <row r="40" spans="1:7" ht="15">
      <c r="A40" s="62" t="s">
        <v>112</v>
      </c>
      <c r="B40" s="61"/>
      <c r="C40" s="61"/>
      <c r="D40" s="58">
        <v>1691565</v>
      </c>
      <c r="E40" s="59">
        <v>1.9779667993578234E-2</v>
      </c>
      <c r="F40" s="58">
        <v>1508799</v>
      </c>
      <c r="G40" s="67">
        <v>1.871645777007722E-2</v>
      </c>
    </row>
    <row r="41" spans="1:7" ht="14.25">
      <c r="A41" s="25"/>
      <c r="B41" s="65" t="s">
        <v>16</v>
      </c>
      <c r="C41" s="65"/>
      <c r="D41" s="63">
        <v>460250</v>
      </c>
      <c r="E41" s="64">
        <v>5.3817572449444051E-3</v>
      </c>
      <c r="F41" s="63">
        <v>454230</v>
      </c>
      <c r="G41" s="68">
        <v>5.6346647982283759E-3</v>
      </c>
    </row>
    <row r="42" spans="1:7">
      <c r="A42" s="25"/>
      <c r="B42" s="22"/>
      <c r="C42" s="22" t="s">
        <v>15</v>
      </c>
      <c r="D42" s="19">
        <v>460250</v>
      </c>
      <c r="E42" s="20">
        <v>5.3817572449444051E-3</v>
      </c>
      <c r="F42" s="19">
        <v>454230</v>
      </c>
      <c r="G42" s="69">
        <v>5.6346647982283759E-3</v>
      </c>
    </row>
    <row r="43" spans="1:7" ht="14.25">
      <c r="A43" s="25"/>
      <c r="B43" s="65" t="s">
        <v>43</v>
      </c>
      <c r="C43" s="65"/>
      <c r="D43" s="63">
        <v>422624</v>
      </c>
      <c r="E43" s="64">
        <v>4.9417920127917091E-3</v>
      </c>
      <c r="F43" s="63">
        <v>386930</v>
      </c>
      <c r="G43" s="68">
        <v>4.7998169437917038E-3</v>
      </c>
    </row>
    <row r="44" spans="1:7">
      <c r="A44" s="25"/>
      <c r="B44" s="22"/>
      <c r="C44" s="22" t="s">
        <v>44</v>
      </c>
      <c r="D44" s="19">
        <v>220946</v>
      </c>
      <c r="E44" s="20">
        <v>2.5835474986235446E-3</v>
      </c>
      <c r="F44" s="19">
        <v>194777</v>
      </c>
      <c r="G44" s="69">
        <v>2.4161836633523289E-3</v>
      </c>
    </row>
    <row r="45" spans="1:7">
      <c r="A45" s="25"/>
      <c r="B45" s="22"/>
      <c r="C45" s="22" t="s">
        <v>63</v>
      </c>
      <c r="D45" s="19">
        <v>52248</v>
      </c>
      <c r="E45" s="20">
        <v>6.1094199355536173E-4</v>
      </c>
      <c r="F45" s="19">
        <v>40243</v>
      </c>
      <c r="G45" s="69">
        <v>4.9920924526144139E-4</v>
      </c>
    </row>
    <row r="46" spans="1:7">
      <c r="A46" s="25"/>
      <c r="B46" s="22"/>
      <c r="C46" s="22" t="s">
        <v>95</v>
      </c>
      <c r="D46" s="19">
        <v>149430</v>
      </c>
      <c r="E46" s="20">
        <v>1.7473025206128027E-3</v>
      </c>
      <c r="F46" s="19">
        <v>151910</v>
      </c>
      <c r="G46" s="69">
        <v>1.8844240351779333E-3</v>
      </c>
    </row>
    <row r="47" spans="1:7" ht="14.25">
      <c r="A47" s="25"/>
      <c r="B47" s="65" t="s">
        <v>144</v>
      </c>
      <c r="C47" s="65"/>
      <c r="D47" s="63">
        <v>808691</v>
      </c>
      <c r="E47" s="64">
        <v>9.4561187358421193E-3</v>
      </c>
      <c r="F47" s="63">
        <v>667639</v>
      </c>
      <c r="G47" s="68">
        <v>8.2819760280571399E-3</v>
      </c>
    </row>
    <row r="48" spans="1:7">
      <c r="A48" s="25"/>
      <c r="B48" s="22"/>
      <c r="C48" s="22" t="s">
        <v>67</v>
      </c>
      <c r="D48" s="19">
        <v>336259</v>
      </c>
      <c r="E48" s="20">
        <v>3.9319159357474433E-3</v>
      </c>
      <c r="F48" s="19">
        <v>278454</v>
      </c>
      <c r="G48" s="69">
        <v>3.4541860989496164E-3</v>
      </c>
    </row>
    <row r="49" spans="1:7">
      <c r="A49" s="25"/>
      <c r="B49" s="22"/>
      <c r="C49" s="22" t="s">
        <v>8</v>
      </c>
      <c r="D49" s="19">
        <v>271752</v>
      </c>
      <c r="E49" s="20">
        <v>3.1776280170084342E-3</v>
      </c>
      <c r="F49" s="19">
        <v>223025</v>
      </c>
      <c r="G49" s="69">
        <v>2.7665964745280662E-3</v>
      </c>
    </row>
    <row r="50" spans="1:7">
      <c r="A50" s="25"/>
      <c r="B50" s="22"/>
      <c r="C50" s="22" t="s">
        <v>69</v>
      </c>
      <c r="D50" s="19">
        <v>200680</v>
      </c>
      <c r="E50" s="20">
        <v>2.3465747830862427E-3</v>
      </c>
      <c r="F50" s="19">
        <v>166160</v>
      </c>
      <c r="G50" s="69">
        <v>2.0611934545794576E-3</v>
      </c>
    </row>
    <row r="51" spans="1:7">
      <c r="A51" s="22"/>
      <c r="B51" s="22"/>
      <c r="C51" s="22"/>
      <c r="D51" s="19"/>
      <c r="E51" s="20"/>
      <c r="F51" s="19"/>
      <c r="G51" s="69"/>
    </row>
    <row r="52" spans="1:7" ht="15">
      <c r="A52" s="62" t="s">
        <v>114</v>
      </c>
      <c r="B52" s="61"/>
      <c r="C52" s="61"/>
      <c r="D52" s="58">
        <v>3318906</v>
      </c>
      <c r="E52" s="59">
        <v>3.8808357220618046E-2</v>
      </c>
      <c r="F52" s="58">
        <v>3172298</v>
      </c>
      <c r="G52" s="67">
        <v>3.9351949166920461E-2</v>
      </c>
    </row>
    <row r="53" spans="1:7" ht="14.25">
      <c r="A53" s="25"/>
      <c r="B53" s="65" t="s">
        <v>21</v>
      </c>
      <c r="C53" s="65"/>
      <c r="D53" s="63">
        <v>1236558</v>
      </c>
      <c r="E53" s="64">
        <v>1.4459217762724526E-2</v>
      </c>
      <c r="F53" s="63">
        <v>1240398</v>
      </c>
      <c r="G53" s="68">
        <v>1.5386977844688551E-2</v>
      </c>
    </row>
    <row r="54" spans="1:7">
      <c r="A54" s="25"/>
      <c r="B54" s="22"/>
      <c r="C54" s="22" t="s">
        <v>20</v>
      </c>
      <c r="D54" s="19">
        <v>413112</v>
      </c>
      <c r="E54" s="20">
        <v>4.8305670808766387E-3</v>
      </c>
      <c r="F54" s="19">
        <v>405540</v>
      </c>
      <c r="G54" s="69">
        <v>5.0306716030943258E-3</v>
      </c>
    </row>
    <row r="55" spans="1:7">
      <c r="A55" s="25"/>
      <c r="B55" s="22"/>
      <c r="C55" s="22" t="s">
        <v>23</v>
      </c>
      <c r="D55" s="19">
        <v>428166</v>
      </c>
      <c r="E55" s="20">
        <v>5.0065952689600565E-3</v>
      </c>
      <c r="F55" s="19">
        <v>378198</v>
      </c>
      <c r="G55" s="69">
        <v>4.6914976055310639E-3</v>
      </c>
    </row>
    <row r="56" spans="1:7">
      <c r="A56" s="25"/>
      <c r="B56" s="22"/>
      <c r="C56" s="22" t="s">
        <v>104</v>
      </c>
      <c r="D56" s="19">
        <v>395280</v>
      </c>
      <c r="E56" s="20">
        <v>4.6220554128878315E-3</v>
      </c>
      <c r="F56" s="19">
        <v>456660</v>
      </c>
      <c r="G56" s="69">
        <v>5.6648086360631626E-3</v>
      </c>
    </row>
    <row r="57" spans="1:7" ht="14.25">
      <c r="A57" s="25"/>
      <c r="B57" s="65" t="s">
        <v>43</v>
      </c>
      <c r="C57" s="65"/>
      <c r="D57" s="63">
        <v>1876638</v>
      </c>
      <c r="E57" s="64">
        <v>2.1943748294705002E-2</v>
      </c>
      <c r="F57" s="63">
        <v>1712945</v>
      </c>
      <c r="G57" s="68">
        <v>2.1248862674859224E-2</v>
      </c>
    </row>
    <row r="58" spans="1:7">
      <c r="A58" s="25"/>
      <c r="B58" s="22"/>
      <c r="C58" s="22" t="s">
        <v>46</v>
      </c>
      <c r="D58" s="19">
        <v>754376</v>
      </c>
      <c r="E58" s="20">
        <v>8.8210070687934385E-3</v>
      </c>
      <c r="F58" s="19">
        <v>625492</v>
      </c>
      <c r="G58" s="69">
        <v>7.7591479073893478E-3</v>
      </c>
    </row>
    <row r="59" spans="1:7">
      <c r="A59" s="25"/>
      <c r="B59" s="22"/>
      <c r="C59" s="22" t="s">
        <v>41</v>
      </c>
      <c r="D59" s="19">
        <v>169640</v>
      </c>
      <c r="E59" s="20">
        <v>1.9836204215803776E-3</v>
      </c>
      <c r="F59" s="19">
        <v>176872</v>
      </c>
      <c r="G59" s="69">
        <v>2.1940744384832561E-3</v>
      </c>
    </row>
    <row r="60" spans="1:7">
      <c r="A60" s="25"/>
      <c r="B60" s="22"/>
      <c r="C60" s="22" t="s">
        <v>56</v>
      </c>
      <c r="D60" s="19">
        <v>658152</v>
      </c>
      <c r="E60" s="20">
        <v>7.6958485481252578E-3</v>
      </c>
      <c r="F60" s="19">
        <v>599401</v>
      </c>
      <c r="G60" s="69">
        <v>7.4354924041188097E-3</v>
      </c>
    </row>
    <row r="61" spans="1:7">
      <c r="A61" s="25"/>
      <c r="B61" s="22"/>
      <c r="C61" s="22" t="s">
        <v>110</v>
      </c>
      <c r="D61" s="19">
        <v>294470</v>
      </c>
      <c r="E61" s="20">
        <v>3.4432722562059291E-3</v>
      </c>
      <c r="F61" s="19">
        <v>311180</v>
      </c>
      <c r="G61" s="69">
        <v>3.8601479248678116E-3</v>
      </c>
    </row>
    <row r="62" spans="1:7" ht="14.25">
      <c r="A62" s="25"/>
      <c r="B62" s="65" t="s">
        <v>106</v>
      </c>
      <c r="C62" s="65"/>
      <c r="D62" s="63">
        <v>205710</v>
      </c>
      <c r="E62" s="64">
        <v>2.4053911631885137E-3</v>
      </c>
      <c r="F62" s="63">
        <v>218955</v>
      </c>
      <c r="G62" s="68">
        <v>2.7161086473726837E-3</v>
      </c>
    </row>
    <row r="63" spans="1:7">
      <c r="A63" s="25"/>
      <c r="B63" s="22"/>
      <c r="C63" s="22" t="s">
        <v>105</v>
      </c>
      <c r="D63" s="19">
        <v>205710</v>
      </c>
      <c r="E63" s="20">
        <v>2.4053911631885137E-3</v>
      </c>
      <c r="F63" s="19">
        <v>218955</v>
      </c>
      <c r="G63" s="69">
        <v>2.7161086473726837E-3</v>
      </c>
    </row>
    <row r="64" spans="1:7">
      <c r="A64" s="22"/>
      <c r="B64" s="22"/>
      <c r="C64" s="22"/>
      <c r="D64" s="19"/>
      <c r="E64" s="20"/>
      <c r="F64" s="19"/>
      <c r="G64" s="69"/>
    </row>
    <row r="65" spans="1:7" ht="15">
      <c r="A65" s="62" t="s">
        <v>6</v>
      </c>
      <c r="B65" s="61"/>
      <c r="C65" s="61"/>
      <c r="D65" s="58">
        <v>22993282</v>
      </c>
      <c r="E65" s="59">
        <v>0.2688631439186307</v>
      </c>
      <c r="F65" s="58">
        <v>21904879</v>
      </c>
      <c r="G65" s="67">
        <v>0.2717272100274134</v>
      </c>
    </row>
    <row r="66" spans="1:7" ht="14.25">
      <c r="A66" s="25"/>
      <c r="B66" s="65" t="s">
        <v>43</v>
      </c>
      <c r="C66" s="65"/>
      <c r="D66" s="63">
        <v>18969730</v>
      </c>
      <c r="E66" s="64">
        <v>0.22181527835337148</v>
      </c>
      <c r="F66" s="63">
        <v>18109973</v>
      </c>
      <c r="G66" s="68">
        <v>0.22465188860261615</v>
      </c>
    </row>
    <row r="67" spans="1:7">
      <c r="A67" s="25"/>
      <c r="B67" s="22"/>
      <c r="C67" s="22" t="s">
        <v>50</v>
      </c>
      <c r="D67" s="19">
        <v>3089034</v>
      </c>
      <c r="E67" s="20">
        <v>3.6120436956826929E-2</v>
      </c>
      <c r="F67" s="19">
        <v>2897648</v>
      </c>
      <c r="G67" s="69">
        <v>3.5944951199297401E-2</v>
      </c>
    </row>
    <row r="68" spans="1:7">
      <c r="A68" s="25"/>
      <c r="B68" s="22"/>
      <c r="C68" s="22" t="s">
        <v>55</v>
      </c>
      <c r="D68" s="19">
        <v>10084672</v>
      </c>
      <c r="E68" s="20">
        <v>0.1179212527949766</v>
      </c>
      <c r="F68" s="19">
        <v>9787934</v>
      </c>
      <c r="G68" s="69">
        <v>0.12141806388213605</v>
      </c>
    </row>
    <row r="69" spans="1:7">
      <c r="A69" s="25"/>
      <c r="B69" s="22"/>
      <c r="C69" s="22" t="s">
        <v>61</v>
      </c>
      <c r="D69" s="19">
        <v>5796024</v>
      </c>
      <c r="E69" s="20">
        <v>6.7773588601567944E-2</v>
      </c>
      <c r="F69" s="19">
        <v>5424391</v>
      </c>
      <c r="G69" s="69">
        <v>6.7288873521182707E-2</v>
      </c>
    </row>
    <row r="70" spans="1:7" ht="14.25">
      <c r="A70" s="25"/>
      <c r="B70" s="65" t="s">
        <v>144</v>
      </c>
      <c r="C70" s="65"/>
      <c r="D70" s="63">
        <v>4023552</v>
      </c>
      <c r="E70" s="64">
        <v>4.7047865565259209E-2</v>
      </c>
      <c r="F70" s="63">
        <v>3794906</v>
      </c>
      <c r="G70" s="68">
        <v>4.7075321424797249E-2</v>
      </c>
    </row>
    <row r="71" spans="1:7">
      <c r="A71" s="25"/>
      <c r="B71" s="22"/>
      <c r="C71" s="22" t="s">
        <v>5</v>
      </c>
      <c r="D71" s="19">
        <v>4023552</v>
      </c>
      <c r="E71" s="20">
        <v>4.7047865565259209E-2</v>
      </c>
      <c r="F71" s="19">
        <v>3794906</v>
      </c>
      <c r="G71" s="69">
        <v>4.7075321424797249E-2</v>
      </c>
    </row>
    <row r="72" spans="1:7">
      <c r="A72" s="22"/>
      <c r="B72" s="22"/>
      <c r="C72" s="22"/>
      <c r="D72" s="19"/>
      <c r="E72" s="20"/>
      <c r="F72" s="19"/>
      <c r="G72" s="69"/>
    </row>
    <row r="73" spans="1:7" ht="15">
      <c r="A73" s="62" t="s">
        <v>113</v>
      </c>
      <c r="B73" s="61"/>
      <c r="C73" s="61"/>
      <c r="D73" s="58">
        <v>1171720</v>
      </c>
      <c r="E73" s="59">
        <v>1.3701059422153737E-2</v>
      </c>
      <c r="F73" s="58">
        <v>1164872</v>
      </c>
      <c r="G73" s="67">
        <v>1.4450087516988936E-2</v>
      </c>
    </row>
    <row r="74" spans="1:7" ht="14.25">
      <c r="A74" s="25"/>
      <c r="B74" s="65" t="s">
        <v>38</v>
      </c>
      <c r="C74" s="65"/>
      <c r="D74" s="63">
        <v>159278</v>
      </c>
      <c r="E74" s="64">
        <v>1.8624563399462356E-3</v>
      </c>
      <c r="F74" s="63">
        <v>210924</v>
      </c>
      <c r="G74" s="68">
        <v>2.6164851240594454E-3</v>
      </c>
    </row>
    <row r="75" spans="1:7">
      <c r="A75" s="25"/>
      <c r="B75" s="22"/>
      <c r="C75" s="22" t="s">
        <v>39</v>
      </c>
      <c r="D75" s="19">
        <v>93488</v>
      </c>
      <c r="E75" s="20">
        <v>1.0931661516900869E-3</v>
      </c>
      <c r="F75" s="19">
        <v>93864</v>
      </c>
      <c r="G75" s="69">
        <v>1.1643708619441875E-3</v>
      </c>
    </row>
    <row r="76" spans="1:7">
      <c r="A76" s="25"/>
      <c r="B76" s="22"/>
      <c r="C76" s="22" t="s">
        <v>37</v>
      </c>
      <c r="D76" s="19">
        <v>38700</v>
      </c>
      <c r="E76" s="20">
        <v>4.5252364015067566E-4</v>
      </c>
      <c r="F76" s="19">
        <v>42702</v>
      </c>
      <c r="G76" s="69">
        <v>5.2971282437079916E-4</v>
      </c>
    </row>
    <row r="77" spans="1:7">
      <c r="A77" s="25"/>
      <c r="B77" s="22"/>
      <c r="C77" s="22" t="s">
        <v>127</v>
      </c>
      <c r="D77" s="19">
        <v>13752</v>
      </c>
      <c r="E77" s="20">
        <v>1.6080374933726335E-4</v>
      </c>
      <c r="F77" s="19">
        <v>28152</v>
      </c>
      <c r="G77" s="69">
        <v>3.4922194350819023E-4</v>
      </c>
    </row>
    <row r="78" spans="1:7">
      <c r="A78" s="25"/>
      <c r="B78" s="22"/>
      <c r="C78" s="22" t="s">
        <v>128</v>
      </c>
      <c r="D78" s="19">
        <v>13338</v>
      </c>
      <c r="E78" s="20">
        <v>1.5596279876820961E-4</v>
      </c>
      <c r="F78" s="19">
        <v>46206</v>
      </c>
      <c r="G78" s="69">
        <v>5.7317949423626871E-4</v>
      </c>
    </row>
    <row r="79" spans="1:7" ht="14.25">
      <c r="A79" s="25"/>
      <c r="B79" s="65" t="s">
        <v>43</v>
      </c>
      <c r="C79" s="65"/>
      <c r="D79" s="63">
        <v>816312</v>
      </c>
      <c r="E79" s="64">
        <v>9.545231982911585E-3</v>
      </c>
      <c r="F79" s="63">
        <v>775528</v>
      </c>
      <c r="G79" s="68">
        <v>9.6203252133070377E-3</v>
      </c>
    </row>
    <row r="80" spans="1:7">
      <c r="A80" s="25"/>
      <c r="B80" s="22"/>
      <c r="C80" s="22" t="s">
        <v>42</v>
      </c>
      <c r="D80" s="19">
        <v>154384</v>
      </c>
      <c r="E80" s="20">
        <v>1.8052302237990157E-3</v>
      </c>
      <c r="F80" s="19">
        <v>175740</v>
      </c>
      <c r="G80" s="69">
        <v>2.1800321239034293E-3</v>
      </c>
    </row>
    <row r="81" spans="1:7">
      <c r="A81" s="25"/>
      <c r="B81" s="22"/>
      <c r="C81" s="22" t="s">
        <v>57</v>
      </c>
      <c r="D81" s="19">
        <v>157544</v>
      </c>
      <c r="E81" s="20">
        <v>1.8421804745193293E-3</v>
      </c>
      <c r="F81" s="19">
        <v>149512</v>
      </c>
      <c r="G81" s="69">
        <v>1.8546771532323293E-3</v>
      </c>
    </row>
    <row r="82" spans="1:7">
      <c r="A82" s="25"/>
      <c r="B82" s="22"/>
      <c r="C82" s="22" t="s">
        <v>64</v>
      </c>
      <c r="D82" s="19">
        <v>504384</v>
      </c>
      <c r="E82" s="20">
        <v>5.8978212845932397E-3</v>
      </c>
      <c r="F82" s="19">
        <v>450276</v>
      </c>
      <c r="G82" s="69">
        <v>5.5856159361712789E-3</v>
      </c>
    </row>
    <row r="83" spans="1:7" ht="14.25">
      <c r="A83" s="25"/>
      <c r="B83" s="65" t="s">
        <v>144</v>
      </c>
      <c r="C83" s="65"/>
      <c r="D83" s="63">
        <v>196130</v>
      </c>
      <c r="E83" s="64">
        <v>2.2933710992959176E-3</v>
      </c>
      <c r="F83" s="63">
        <v>178420</v>
      </c>
      <c r="G83" s="68">
        <v>2.2132771796224532E-3</v>
      </c>
    </row>
    <row r="84" spans="1:7">
      <c r="A84" s="25"/>
      <c r="B84" s="22"/>
      <c r="C84" s="22" t="s">
        <v>70</v>
      </c>
      <c r="D84" s="19">
        <v>196130</v>
      </c>
      <c r="E84" s="20">
        <v>2.2933710992959176E-3</v>
      </c>
      <c r="F84" s="19">
        <v>178420</v>
      </c>
      <c r="G84" s="69">
        <v>2.2132771796224532E-3</v>
      </c>
    </row>
    <row r="85" spans="1:7">
      <c r="A85" s="22"/>
      <c r="B85" s="22"/>
      <c r="C85" s="22"/>
      <c r="D85" s="19"/>
      <c r="E85" s="20"/>
      <c r="F85" s="19"/>
      <c r="G85" s="69"/>
    </row>
    <row r="86" spans="1:7" ht="15">
      <c r="A86" s="62" t="s">
        <v>10</v>
      </c>
      <c r="B86" s="61"/>
      <c r="C86" s="61"/>
      <c r="D86" s="58">
        <v>8610496</v>
      </c>
      <c r="E86" s="59">
        <v>0.10068353988172693</v>
      </c>
      <c r="F86" s="58">
        <v>8712830</v>
      </c>
      <c r="G86" s="67">
        <v>0.10808153687327596</v>
      </c>
    </row>
    <row r="87" spans="1:7" ht="14.25">
      <c r="A87" s="25"/>
      <c r="B87" s="65" t="s">
        <v>18</v>
      </c>
      <c r="C87" s="65"/>
      <c r="D87" s="63">
        <v>757512</v>
      </c>
      <c r="E87" s="64">
        <v>8.8576766846981559E-3</v>
      </c>
      <c r="F87" s="63">
        <v>816684</v>
      </c>
      <c r="G87" s="68">
        <v>1.0130860106281715E-2</v>
      </c>
    </row>
    <row r="88" spans="1:7">
      <c r="A88" s="25"/>
      <c r="B88" s="22"/>
      <c r="C88" s="22" t="s">
        <v>19</v>
      </c>
      <c r="D88" s="19">
        <v>378696</v>
      </c>
      <c r="E88" s="20">
        <v>4.4281367553100845E-3</v>
      </c>
      <c r="F88" s="19">
        <v>371988</v>
      </c>
      <c r="G88" s="69">
        <v>4.614463353286611E-3</v>
      </c>
    </row>
    <row r="89" spans="1:7">
      <c r="A89" s="25"/>
      <c r="B89" s="22"/>
      <c r="C89" s="22" t="s">
        <v>94</v>
      </c>
      <c r="D89" s="19">
        <v>378816</v>
      </c>
      <c r="E89" s="20">
        <v>4.4295399293880705E-3</v>
      </c>
      <c r="F89" s="19">
        <v>444696</v>
      </c>
      <c r="G89" s="69">
        <v>5.5163967529951036E-3</v>
      </c>
    </row>
    <row r="90" spans="1:7" ht="14.25">
      <c r="A90" s="25"/>
      <c r="B90" s="65" t="s">
        <v>21</v>
      </c>
      <c r="C90" s="65"/>
      <c r="D90" s="63">
        <v>464448</v>
      </c>
      <c r="E90" s="64">
        <v>5.4308449514393021E-3</v>
      </c>
      <c r="F90" s="63">
        <v>612480</v>
      </c>
      <c r="G90" s="68">
        <v>7.5977357189505662E-3</v>
      </c>
    </row>
    <row r="91" spans="1:7">
      <c r="A91" s="25"/>
      <c r="B91" s="22"/>
      <c r="C91" s="22" t="s">
        <v>29</v>
      </c>
      <c r="D91" s="19">
        <v>464448</v>
      </c>
      <c r="E91" s="20">
        <v>5.4308449514393021E-3</v>
      </c>
      <c r="F91" s="19">
        <v>612480</v>
      </c>
      <c r="G91" s="69">
        <v>7.5977357189505662E-3</v>
      </c>
    </row>
    <row r="92" spans="1:7" ht="14.25">
      <c r="A92" s="25"/>
      <c r="B92" s="65" t="s">
        <v>43</v>
      </c>
      <c r="C92" s="65"/>
      <c r="D92" s="63">
        <v>2877988</v>
      </c>
      <c r="E92" s="64">
        <v>3.3652651319637281E-2</v>
      </c>
      <c r="F92" s="63">
        <v>2952266</v>
      </c>
      <c r="G92" s="68">
        <v>3.662248047290248E-2</v>
      </c>
    </row>
    <row r="93" spans="1:7">
      <c r="A93" s="25"/>
      <c r="B93" s="22"/>
      <c r="C93" s="22" t="s">
        <v>47</v>
      </c>
      <c r="D93" s="19">
        <v>298080</v>
      </c>
      <c r="E93" s="20">
        <v>3.4854844097186922E-3</v>
      </c>
      <c r="F93" s="19">
        <v>250950</v>
      </c>
      <c r="G93" s="69">
        <v>3.1130025121973688E-3</v>
      </c>
    </row>
    <row r="94" spans="1:7">
      <c r="A94" s="25"/>
      <c r="B94" s="22"/>
      <c r="C94" s="22" t="s">
        <v>49</v>
      </c>
      <c r="D94" s="19">
        <v>736560</v>
      </c>
      <c r="E94" s="20">
        <v>8.6126824906816966E-3</v>
      </c>
      <c r="F94" s="19">
        <v>765378</v>
      </c>
      <c r="G94" s="69">
        <v>9.4944157672070054E-3</v>
      </c>
    </row>
    <row r="95" spans="1:7">
      <c r="A95" s="25"/>
      <c r="B95" s="22"/>
      <c r="C95" s="22" t="s">
        <v>40</v>
      </c>
      <c r="D95" s="19">
        <v>380808</v>
      </c>
      <c r="E95" s="20">
        <v>4.4528326190826483E-3</v>
      </c>
      <c r="F95" s="19">
        <v>414168</v>
      </c>
      <c r="G95" s="69">
        <v>5.1377008347151219E-3</v>
      </c>
    </row>
    <row r="96" spans="1:7">
      <c r="A96" s="25"/>
      <c r="B96" s="22"/>
      <c r="C96" s="22" t="s">
        <v>58</v>
      </c>
      <c r="D96" s="19">
        <v>1271700</v>
      </c>
      <c r="E96" s="20">
        <v>1.4870137291462899E-2</v>
      </c>
      <c r="F96" s="19">
        <v>1296270</v>
      </c>
      <c r="G96" s="69">
        <v>1.608006282720097E-2</v>
      </c>
    </row>
    <row r="97" spans="1:7">
      <c r="A97" s="25"/>
      <c r="B97" s="22"/>
      <c r="C97" s="22" t="s">
        <v>142</v>
      </c>
      <c r="D97" s="19">
        <v>190840</v>
      </c>
      <c r="E97" s="20">
        <v>2.2315145086913421E-3</v>
      </c>
      <c r="F97" s="19">
        <v>225500</v>
      </c>
      <c r="G97" s="69">
        <v>2.7972985315820151E-3</v>
      </c>
    </row>
    <row r="98" spans="1:7" ht="14.25">
      <c r="A98" s="25"/>
      <c r="B98" s="65" t="s">
        <v>144</v>
      </c>
      <c r="C98" s="65"/>
      <c r="D98" s="63">
        <v>4510548</v>
      </c>
      <c r="E98" s="64">
        <v>5.2742366925952189E-2</v>
      </c>
      <c r="F98" s="63">
        <v>4331400</v>
      </c>
      <c r="G98" s="68">
        <v>5.3730460575141199E-2</v>
      </c>
    </row>
    <row r="99" spans="1:7">
      <c r="A99" s="25"/>
      <c r="B99" s="22"/>
      <c r="C99" s="22" t="s">
        <v>9</v>
      </c>
      <c r="D99" s="19">
        <v>330213</v>
      </c>
      <c r="E99" s="20">
        <v>3.8612193484515518E-3</v>
      </c>
      <c r="F99" s="19">
        <v>342348</v>
      </c>
      <c r="G99" s="69">
        <v>4.2467829609314405E-3</v>
      </c>
    </row>
    <row r="100" spans="1:7">
      <c r="A100" s="25"/>
      <c r="B100" s="22"/>
      <c r="C100" s="22" t="s">
        <v>68</v>
      </c>
      <c r="D100" s="19">
        <v>333278</v>
      </c>
      <c r="E100" s="20">
        <v>3.8970587530267925E-3</v>
      </c>
      <c r="F100" s="19">
        <v>224180</v>
      </c>
      <c r="G100" s="69">
        <v>2.7809241011532426E-3</v>
      </c>
    </row>
    <row r="101" spans="1:7">
      <c r="A101" s="25"/>
      <c r="B101" s="22"/>
      <c r="C101" s="22" t="s">
        <v>12</v>
      </c>
      <c r="D101" s="19">
        <v>604061</v>
      </c>
      <c r="E101" s="20">
        <v>7.0633561393554853E-3</v>
      </c>
      <c r="F101" s="19">
        <v>426868</v>
      </c>
      <c r="G101" s="69">
        <v>5.2952427032343756E-3</v>
      </c>
    </row>
    <row r="102" spans="1:7">
      <c r="A102" s="25"/>
      <c r="B102" s="22"/>
      <c r="C102" s="22" t="s">
        <v>13</v>
      </c>
      <c r="D102" s="19">
        <v>2263820</v>
      </c>
      <c r="E102" s="20">
        <v>2.6471112843563373E-2</v>
      </c>
      <c r="F102" s="19">
        <v>2256189</v>
      </c>
      <c r="G102" s="69">
        <v>2.7987734708077586E-2</v>
      </c>
    </row>
    <row r="103" spans="1:7">
      <c r="A103" s="25"/>
      <c r="B103" s="22"/>
      <c r="C103" s="22" t="s">
        <v>71</v>
      </c>
      <c r="D103" s="19">
        <v>407496</v>
      </c>
      <c r="E103" s="20">
        <v>4.7648985340268662E-3</v>
      </c>
      <c r="F103" s="19">
        <v>387576</v>
      </c>
      <c r="G103" s="69">
        <v>4.8078304908045722E-3</v>
      </c>
    </row>
    <row r="104" spans="1:7">
      <c r="A104" s="25"/>
      <c r="B104" s="22"/>
      <c r="C104" s="22" t="s">
        <v>75</v>
      </c>
      <c r="D104" s="19">
        <v>571680</v>
      </c>
      <c r="E104" s="20">
        <v>6.6847213075281204E-3</v>
      </c>
      <c r="F104" s="19">
        <v>694239</v>
      </c>
      <c r="G104" s="69">
        <v>8.6119456109399854E-3</v>
      </c>
    </row>
    <row r="105" spans="1:7">
      <c r="A105" s="22"/>
      <c r="B105" s="22"/>
      <c r="C105" s="22"/>
      <c r="D105" s="19"/>
      <c r="E105" s="20"/>
      <c r="F105" s="19"/>
      <c r="G105" s="69"/>
    </row>
    <row r="106" spans="1:7" ht="15">
      <c r="A106" s="62" t="s">
        <v>59</v>
      </c>
      <c r="B106" s="61"/>
      <c r="C106" s="61"/>
      <c r="D106" s="58">
        <v>5244106</v>
      </c>
      <c r="E106" s="59">
        <v>6.1319946678449588E-2</v>
      </c>
      <c r="F106" s="58">
        <v>4907649</v>
      </c>
      <c r="G106" s="67">
        <v>6.0878755393436568E-2</v>
      </c>
    </row>
    <row r="107" spans="1:7" ht="14.25">
      <c r="A107" s="25"/>
      <c r="B107" s="65" t="s">
        <v>18</v>
      </c>
      <c r="C107" s="65"/>
      <c r="D107" s="63">
        <v>607776</v>
      </c>
      <c r="E107" s="64">
        <v>7.1067960701864871E-3</v>
      </c>
      <c r="F107" s="63">
        <v>572652</v>
      </c>
      <c r="G107" s="68">
        <v>7.103674495376959E-3</v>
      </c>
    </row>
    <row r="108" spans="1:7">
      <c r="A108" s="25"/>
      <c r="B108" s="22"/>
      <c r="C108" s="22" t="s">
        <v>17</v>
      </c>
      <c r="D108" s="19">
        <v>607776</v>
      </c>
      <c r="E108" s="20">
        <v>7.1067960701864871E-3</v>
      </c>
      <c r="F108" s="19">
        <v>572652</v>
      </c>
      <c r="G108" s="69">
        <v>7.103674495376959E-3</v>
      </c>
    </row>
    <row r="109" spans="1:7" ht="14.25">
      <c r="A109" s="25"/>
      <c r="B109" s="65" t="s">
        <v>43</v>
      </c>
      <c r="C109" s="65"/>
      <c r="D109" s="63">
        <v>4636330</v>
      </c>
      <c r="E109" s="64">
        <v>5.4213150608263101E-2</v>
      </c>
      <c r="F109" s="63">
        <v>4334997</v>
      </c>
      <c r="G109" s="68">
        <v>5.3775080898059609E-2</v>
      </c>
    </row>
    <row r="110" spans="1:7">
      <c r="A110" s="25"/>
      <c r="B110" s="22"/>
      <c r="C110" s="22" t="s">
        <v>59</v>
      </c>
      <c r="D110" s="19">
        <v>199980</v>
      </c>
      <c r="E110" s="20">
        <v>2.3383896009646541E-3</v>
      </c>
      <c r="F110" s="19">
        <v>176304</v>
      </c>
      <c r="G110" s="69">
        <v>2.1870284714502687E-3</v>
      </c>
    </row>
    <row r="111" spans="1:7">
      <c r="A111" s="25"/>
      <c r="B111" s="22"/>
      <c r="C111" s="22" t="s">
        <v>62</v>
      </c>
      <c r="D111" s="19">
        <v>4436350</v>
      </c>
      <c r="E111" s="20">
        <v>5.1874761007298445E-2</v>
      </c>
      <c r="F111" s="19">
        <v>4158693</v>
      </c>
      <c r="G111" s="69">
        <v>5.158805242660934E-2</v>
      </c>
    </row>
    <row r="112" spans="1:7">
      <c r="A112" s="22"/>
      <c r="B112" s="22"/>
      <c r="C112" s="22"/>
      <c r="D112" s="19"/>
      <c r="E112" s="20"/>
      <c r="F112" s="19"/>
      <c r="G112" s="69"/>
    </row>
    <row r="113" spans="1:7" ht="15">
      <c r="A113" s="60" t="s">
        <v>84</v>
      </c>
      <c r="B113" s="61"/>
      <c r="C113" s="61"/>
      <c r="D113" s="58">
        <v>85520394</v>
      </c>
      <c r="E113" s="59">
        <v>1</v>
      </c>
      <c r="F113" s="58">
        <v>80613491</v>
      </c>
      <c r="G113" s="67">
        <v>1</v>
      </c>
    </row>
    <row r="114" spans="1:7">
      <c r="B114"/>
      <c r="D114"/>
      <c r="F114"/>
      <c r="G114"/>
    </row>
    <row r="115" spans="1:7">
      <c r="B115"/>
      <c r="D115"/>
      <c r="F115"/>
      <c r="G115"/>
    </row>
    <row r="116" spans="1:7">
      <c r="B116"/>
      <c r="D116"/>
      <c r="F116"/>
      <c r="G116"/>
    </row>
    <row r="117" spans="1:7">
      <c r="B117"/>
      <c r="D117"/>
      <c r="F117"/>
      <c r="G117"/>
    </row>
    <row r="118" spans="1:7">
      <c r="B118"/>
      <c r="D118"/>
      <c r="F118"/>
      <c r="G118"/>
    </row>
    <row r="119" spans="1:7">
      <c r="B119"/>
      <c r="D119"/>
      <c r="F119"/>
      <c r="G119"/>
    </row>
    <row r="120" spans="1:7">
      <c r="B120"/>
      <c r="D120"/>
      <c r="F120"/>
      <c r="G120"/>
    </row>
    <row r="121" spans="1:7">
      <c r="B121"/>
      <c r="D121"/>
      <c r="F121"/>
      <c r="G121"/>
    </row>
    <row r="122" spans="1:7">
      <c r="B122"/>
      <c r="D122"/>
      <c r="F122"/>
      <c r="G122"/>
    </row>
    <row r="123" spans="1:7">
      <c r="B123"/>
      <c r="D123"/>
      <c r="F123"/>
      <c r="G123"/>
    </row>
    <row r="124" spans="1:7">
      <c r="B124"/>
      <c r="D124"/>
      <c r="F124"/>
      <c r="G124"/>
    </row>
    <row r="125" spans="1:7">
      <c r="B125"/>
      <c r="D125"/>
      <c r="F125"/>
      <c r="G125"/>
    </row>
    <row r="126" spans="1:7">
      <c r="B126"/>
      <c r="D126"/>
      <c r="F126"/>
      <c r="G126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5" sqref="B5"/>
    </sheetView>
  </sheetViews>
  <sheetFormatPr baseColWidth="10" defaultRowHeight="12.75"/>
  <cols>
    <col min="2" max="2" width="12.85546875" style="24" customWidth="1"/>
    <col min="4" max="4" width="12.85546875" style="24" bestFit="1" customWidth="1"/>
  </cols>
  <sheetData>
    <row r="1" spans="1:6" ht="18">
      <c r="A1" s="1" t="s">
        <v>101</v>
      </c>
    </row>
    <row r="2" spans="1:6" ht="18" customHeight="1">
      <c r="A2" s="35" t="s">
        <v>48</v>
      </c>
      <c r="B2" s="28" t="s">
        <v>116</v>
      </c>
      <c r="C2" s="29" t="s">
        <v>117</v>
      </c>
      <c r="D2" s="28" t="s">
        <v>130</v>
      </c>
      <c r="E2" s="29" t="s">
        <v>129</v>
      </c>
      <c r="F2" s="38" t="s">
        <v>93</v>
      </c>
    </row>
    <row r="3" spans="1:6" ht="18" customHeight="1">
      <c r="A3" s="36" t="s">
        <v>89</v>
      </c>
      <c r="B3" s="33">
        <f>ROUND(GETPIVOTDATA("Opplag 2008",Aktualitet!$A$4,"Tittel","Se og Hør tirsdag","Utgiver","AM"),-3)</f>
        <v>10705000</v>
      </c>
      <c r="C3" s="34">
        <f t="shared" ref="C3:C8" si="0">B3/$B$8</f>
        <v>0.40017195618855372</v>
      </c>
      <c r="D3" s="33">
        <f>ROUND(GETPIVOTDATA("Opplag 2009",Aktualitet!$A$4,"Tittel","Se og Hør tirsdag","Utgiver","AM"),-3)</f>
        <v>10138000</v>
      </c>
      <c r="E3" s="34">
        <f t="shared" ref="E3:E8" si="1">D3/$D$8</f>
        <v>0.40618614527825636</v>
      </c>
      <c r="F3" s="39">
        <f t="shared" ref="F3:F8" si="2">IF(B3=0,0,(D3-B3)/B3)</f>
        <v>-5.2965903783278839E-2</v>
      </c>
    </row>
    <row r="4" spans="1:6" ht="18" customHeight="1">
      <c r="A4" s="36" t="s">
        <v>90</v>
      </c>
      <c r="B4" s="33">
        <f>ROUND(GETPIVOTDATA("Opplag 2008",Aktualitet!$A$4,"Tittel","Se og Hør weekend","Utgiver","AM"),-3)</f>
        <v>8404000</v>
      </c>
      <c r="C4" s="34">
        <f t="shared" si="0"/>
        <v>0.31415648013158387</v>
      </c>
      <c r="D4" s="33">
        <f>ROUND(GETPIVOTDATA("Opplag 2009",Aktualitet!$A$4,"Tittel","Se og Hør weekend","Utgiver","AM"),-3)</f>
        <v>7666000</v>
      </c>
      <c r="E4" s="34">
        <f t="shared" si="1"/>
        <v>0.30714371569373772</v>
      </c>
      <c r="F4" s="39">
        <f t="shared" si="2"/>
        <v>-8.7815326035221325E-2</v>
      </c>
    </row>
    <row r="5" spans="1:6" ht="18" customHeight="1">
      <c r="A5" s="36" t="s">
        <v>144</v>
      </c>
      <c r="B5" s="33">
        <f>ROUND(GETPIVOTDATA("Opplag 2008",Aktualitet!$A$4,"Utgiver","AM"),-3)</f>
        <v>19109000</v>
      </c>
      <c r="C5" s="34">
        <f t="shared" si="0"/>
        <v>0.71432843632013754</v>
      </c>
      <c r="D5" s="33">
        <f>ROUND(GETPIVOTDATA("Opplag 2009",Aktualitet!$A$4,"Utgiver","AM"),-3)</f>
        <v>17804000</v>
      </c>
      <c r="E5" s="34">
        <f t="shared" si="1"/>
        <v>0.71332986097199402</v>
      </c>
      <c r="F5" s="39">
        <f t="shared" si="2"/>
        <v>-6.8292427651891779E-2</v>
      </c>
    </row>
    <row r="6" spans="1:6" ht="18" customHeight="1">
      <c r="A6" s="36" t="s">
        <v>43</v>
      </c>
      <c r="B6" s="33">
        <f>ROUND(GETPIVOTDATA("Opplag 2008",Aktualitet!$A$4,"Utgiver","HM"),-3)</f>
        <v>7642000</v>
      </c>
      <c r="C6" s="34">
        <f t="shared" si="0"/>
        <v>0.28567156367986246</v>
      </c>
      <c r="D6" s="33">
        <f>ROUND(GETPIVOTDATA("Opplag 2009",Aktualitet!$A$4,"Utgiver","HM"),-3)</f>
        <v>7155000</v>
      </c>
      <c r="E6" s="34">
        <f t="shared" si="1"/>
        <v>0.28667013902800592</v>
      </c>
      <c r="F6" s="39">
        <f t="shared" si="2"/>
        <v>-6.3726773096048156E-2</v>
      </c>
    </row>
    <row r="7" spans="1:6" ht="18" customHeight="1">
      <c r="A7" s="36" t="s">
        <v>86</v>
      </c>
      <c r="B7" s="41">
        <f>B8-B6-B5</f>
        <v>0</v>
      </c>
      <c r="C7" s="34">
        <f t="shared" si="0"/>
        <v>0</v>
      </c>
      <c r="D7" s="41">
        <f>D8-D6-D5</f>
        <v>0</v>
      </c>
      <c r="E7" s="34">
        <f t="shared" si="1"/>
        <v>0</v>
      </c>
      <c r="F7" s="39">
        <f t="shared" si="2"/>
        <v>0</v>
      </c>
    </row>
    <row r="8" spans="1:6" ht="18" customHeight="1">
      <c r="A8" s="37" t="s">
        <v>76</v>
      </c>
      <c r="B8" s="30">
        <f>ROUND(GETPIVOTDATA("Opplag 2008",Aktualitet!$A$4),-3)</f>
        <v>26751000</v>
      </c>
      <c r="C8" s="31">
        <f t="shared" si="0"/>
        <v>1</v>
      </c>
      <c r="D8" s="30">
        <f>ROUND(GETPIVOTDATA("Opplag 2009",Aktualitet!$A$4),-3)</f>
        <v>24959000</v>
      </c>
      <c r="E8" s="31">
        <f t="shared" si="1"/>
        <v>1</v>
      </c>
      <c r="F8" s="40">
        <f t="shared" si="2"/>
        <v>-6.6988149975701849E-2</v>
      </c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1"/>
  <headerFooter alignWithMargins="0">
    <oddHeader>&amp;R&amp;F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3"/>
  <sheetViews>
    <sheetView workbookViewId="0">
      <pane ySplit="4" topLeftCell="A5" activePane="bottomLeft" state="frozen"/>
      <selection pane="bottomLeft" activeCell="C7" sqref="C7"/>
    </sheetView>
  </sheetViews>
  <sheetFormatPr baseColWidth="10" defaultRowHeight="12.75"/>
  <cols>
    <col min="1" max="1" width="9.85546875" customWidth="1"/>
    <col min="2" max="2" width="17.28515625" style="24" customWidth="1"/>
    <col min="3" max="3" width="12.7109375" customWidth="1"/>
    <col min="4" max="4" width="10.85546875" style="24" customWidth="1"/>
    <col min="5" max="5" width="12.7109375" style="16" customWidth="1"/>
    <col min="6" max="7" width="10.85546875" customWidth="1"/>
    <col min="50" max="50" width="16.7109375" bestFit="1" customWidth="1"/>
    <col min="51" max="51" width="15.42578125" bestFit="1" customWidth="1"/>
    <col min="52" max="52" width="16.7109375" bestFit="1" customWidth="1"/>
    <col min="53" max="53" width="15.42578125" bestFit="1" customWidth="1"/>
  </cols>
  <sheetData>
    <row r="1" spans="1:6" ht="18">
      <c r="A1" s="1" t="s">
        <v>101</v>
      </c>
    </row>
    <row r="2" spans="1:6">
      <c r="A2" s="18" t="s">
        <v>4</v>
      </c>
      <c r="B2" s="17" t="s">
        <v>48</v>
      </c>
    </row>
    <row r="4" spans="1:6">
      <c r="A4" s="21" t="s">
        <v>1</v>
      </c>
      <c r="B4" s="21" t="s">
        <v>0</v>
      </c>
      <c r="C4" s="23" t="s">
        <v>116</v>
      </c>
      <c r="D4" s="23" t="s">
        <v>117</v>
      </c>
      <c r="E4" s="23" t="s">
        <v>130</v>
      </c>
      <c r="F4" s="23" t="s">
        <v>129</v>
      </c>
    </row>
    <row r="5" spans="1:6" ht="15">
      <c r="A5" s="61" t="s">
        <v>43</v>
      </c>
      <c r="B5" s="61"/>
      <c r="C5" s="58">
        <v>7642128</v>
      </c>
      <c r="D5" s="59">
        <v>0.28567410595632869</v>
      </c>
      <c r="E5" s="58">
        <v>7155106</v>
      </c>
      <c r="F5" s="59">
        <v>0.28666967688739436</v>
      </c>
    </row>
    <row r="6" spans="1:6">
      <c r="A6" s="22"/>
      <c r="B6" s="22" t="s">
        <v>53</v>
      </c>
      <c r="C6" s="19">
        <v>7642128</v>
      </c>
      <c r="D6" s="20">
        <v>0.28567410595632869</v>
      </c>
      <c r="E6" s="19">
        <v>7155106</v>
      </c>
      <c r="F6" s="20">
        <v>0.28666967688739436</v>
      </c>
    </row>
    <row r="7" spans="1:6" ht="15">
      <c r="A7" s="61" t="s">
        <v>144</v>
      </c>
      <c r="B7" s="61"/>
      <c r="C7" s="58">
        <v>19109082</v>
      </c>
      <c r="D7" s="59">
        <v>0.71432589404367131</v>
      </c>
      <c r="E7" s="58">
        <v>17804304</v>
      </c>
      <c r="F7" s="59">
        <v>0.71333032311260558</v>
      </c>
    </row>
    <row r="8" spans="1:6">
      <c r="A8" s="22"/>
      <c r="B8" s="22" t="s">
        <v>73</v>
      </c>
      <c r="C8" s="19">
        <v>10705200</v>
      </c>
      <c r="D8" s="20">
        <v>0.40017629109113195</v>
      </c>
      <c r="E8" s="19">
        <v>10138494</v>
      </c>
      <c r="F8" s="20">
        <v>0.40619926512685994</v>
      </c>
    </row>
    <row r="9" spans="1:6">
      <c r="A9" s="22"/>
      <c r="B9" s="22" t="s">
        <v>74</v>
      </c>
      <c r="C9" s="19">
        <v>8403882</v>
      </c>
      <c r="D9" s="20">
        <v>0.31414960295253935</v>
      </c>
      <c r="E9" s="19">
        <v>7665810</v>
      </c>
      <c r="F9" s="20">
        <v>0.30713105798574564</v>
      </c>
    </row>
    <row r="10" spans="1:6" ht="15">
      <c r="A10" s="60" t="s">
        <v>84</v>
      </c>
      <c r="B10" s="61"/>
      <c r="C10" s="58">
        <v>26751210</v>
      </c>
      <c r="D10" s="59">
        <v>1</v>
      </c>
      <c r="E10" s="58">
        <v>24959410</v>
      </c>
      <c r="F10" s="59">
        <v>1</v>
      </c>
    </row>
    <row r="11" spans="1:6" ht="15" customHeight="1">
      <c r="B11"/>
      <c r="D11"/>
    </row>
    <row r="12" spans="1:6" ht="15" customHeight="1">
      <c r="B12"/>
      <c r="D12"/>
    </row>
    <row r="13" spans="1:6" ht="15" customHeight="1">
      <c r="B13"/>
      <c r="D13"/>
    </row>
    <row r="14" spans="1:6" ht="15" customHeight="1">
      <c r="B14"/>
      <c r="D14"/>
    </row>
    <row r="15" spans="1:6" ht="15" customHeight="1">
      <c r="B15"/>
      <c r="D15"/>
    </row>
    <row r="16" spans="1:6" ht="15" customHeight="1">
      <c r="B16"/>
      <c r="D16"/>
    </row>
    <row r="17" spans="2:4" ht="15" customHeight="1">
      <c r="B17"/>
      <c r="D17"/>
    </row>
    <row r="18" spans="2:4">
      <c r="B18"/>
      <c r="D18"/>
    </row>
    <row r="19" spans="2:4">
      <c r="B19"/>
      <c r="D19"/>
    </row>
    <row r="20" spans="2:4">
      <c r="B20"/>
      <c r="D20"/>
    </row>
    <row r="21" spans="2:4">
      <c r="B21"/>
      <c r="D21"/>
    </row>
    <row r="22" spans="2:4">
      <c r="B22"/>
      <c r="D22"/>
    </row>
    <row r="23" spans="2:4">
      <c r="B23"/>
      <c r="D23"/>
    </row>
    <row r="24" spans="2:4">
      <c r="B24"/>
      <c r="D24"/>
    </row>
    <row r="25" spans="2:4">
      <c r="B25"/>
      <c r="D25"/>
    </row>
    <row r="26" spans="2:4">
      <c r="B26"/>
      <c r="D26"/>
    </row>
    <row r="27" spans="2:4">
      <c r="B27"/>
      <c r="D27"/>
    </row>
    <row r="28" spans="2:4">
      <c r="B28"/>
      <c r="D28"/>
    </row>
    <row r="29" spans="2:4">
      <c r="B29"/>
      <c r="D29"/>
    </row>
    <row r="30" spans="2:4">
      <c r="B30"/>
      <c r="D30"/>
    </row>
    <row r="31" spans="2:4">
      <c r="B31"/>
      <c r="D31"/>
    </row>
    <row r="32" spans="2:4">
      <c r="B32"/>
      <c r="D32"/>
    </row>
    <row r="33" spans="2:4">
      <c r="B33"/>
      <c r="D33"/>
    </row>
    <row r="34" spans="2:4">
      <c r="B34"/>
      <c r="D34"/>
    </row>
    <row r="35" spans="2:4">
      <c r="B35"/>
      <c r="D35"/>
    </row>
    <row r="36" spans="2:4">
      <c r="B36"/>
      <c r="D36"/>
    </row>
    <row r="37" spans="2:4">
      <c r="B37"/>
      <c r="D37"/>
    </row>
    <row r="38" spans="2:4">
      <c r="B38"/>
      <c r="D38"/>
    </row>
    <row r="39" spans="2:4">
      <c r="B39"/>
      <c r="D39"/>
    </row>
    <row r="40" spans="2:4">
      <c r="B40"/>
      <c r="D40"/>
    </row>
    <row r="41" spans="2:4">
      <c r="B41"/>
      <c r="D41"/>
    </row>
    <row r="42" spans="2:4">
      <c r="B42"/>
      <c r="D42"/>
    </row>
    <row r="43" spans="2:4">
      <c r="B43"/>
      <c r="D43"/>
    </row>
    <row r="44" spans="2:4">
      <c r="B44"/>
      <c r="D44"/>
    </row>
    <row r="45" spans="2:4">
      <c r="B45"/>
      <c r="D45"/>
    </row>
    <row r="46" spans="2:4">
      <c r="B46"/>
      <c r="D46"/>
    </row>
    <row r="47" spans="2:4">
      <c r="B47"/>
      <c r="D47"/>
    </row>
    <row r="48" spans="2:4">
      <c r="B48"/>
      <c r="D48"/>
    </row>
    <row r="49" spans="2:4">
      <c r="B49"/>
      <c r="D49"/>
    </row>
    <row r="50" spans="2:4">
      <c r="B50"/>
      <c r="D50"/>
    </row>
    <row r="51" spans="2:4">
      <c r="B51"/>
      <c r="D51"/>
    </row>
    <row r="52" spans="2:4">
      <c r="B52"/>
      <c r="D52"/>
    </row>
    <row r="53" spans="2:4">
      <c r="B53"/>
      <c r="D53"/>
    </row>
    <row r="54" spans="2:4">
      <c r="B54"/>
      <c r="D54"/>
    </row>
    <row r="55" spans="2:4">
      <c r="B55"/>
      <c r="D55"/>
    </row>
    <row r="56" spans="2:4">
      <c r="B56"/>
      <c r="D56"/>
    </row>
    <row r="57" spans="2:4">
      <c r="B57"/>
      <c r="D57"/>
    </row>
    <row r="58" spans="2:4">
      <c r="B58"/>
      <c r="D58"/>
    </row>
    <row r="59" spans="2:4">
      <c r="B59"/>
      <c r="D59"/>
    </row>
    <row r="60" spans="2:4">
      <c r="B60"/>
      <c r="D60"/>
    </row>
    <row r="61" spans="2:4">
      <c r="B61"/>
      <c r="D61"/>
    </row>
    <row r="62" spans="2:4">
      <c r="B62"/>
      <c r="D62"/>
    </row>
    <row r="63" spans="2:4">
      <c r="B63"/>
      <c r="D63"/>
    </row>
    <row r="64" spans="2:4">
      <c r="B64"/>
      <c r="D64"/>
    </row>
    <row r="65" spans="2:4">
      <c r="B65"/>
      <c r="D65"/>
    </row>
    <row r="66" spans="2:4">
      <c r="B66"/>
      <c r="D66"/>
    </row>
    <row r="67" spans="2:4">
      <c r="B67"/>
      <c r="D67"/>
    </row>
    <row r="68" spans="2:4">
      <c r="B68"/>
      <c r="D68"/>
    </row>
    <row r="69" spans="2:4">
      <c r="B69"/>
      <c r="D69"/>
    </row>
    <row r="70" spans="2:4">
      <c r="B70"/>
      <c r="D70"/>
    </row>
    <row r="71" spans="2:4">
      <c r="B71"/>
      <c r="D71"/>
    </row>
    <row r="72" spans="2:4">
      <c r="B72"/>
      <c r="D72"/>
    </row>
    <row r="73" spans="2:4">
      <c r="B73"/>
      <c r="D73"/>
    </row>
    <row r="74" spans="2:4">
      <c r="B74"/>
      <c r="D74"/>
    </row>
    <row r="75" spans="2:4">
      <c r="B75"/>
      <c r="D75"/>
    </row>
    <row r="76" spans="2:4">
      <c r="B76"/>
      <c r="D76"/>
    </row>
    <row r="77" spans="2:4">
      <c r="B77"/>
      <c r="D77"/>
    </row>
    <row r="78" spans="2:4">
      <c r="B78"/>
      <c r="D78"/>
    </row>
    <row r="79" spans="2:4">
      <c r="B79"/>
      <c r="D79"/>
    </row>
    <row r="80" spans="2:4">
      <c r="B80"/>
      <c r="D80"/>
    </row>
    <row r="81" spans="2:4">
      <c r="B81"/>
      <c r="D81"/>
    </row>
    <row r="82" spans="2:4">
      <c r="B82"/>
      <c r="D82"/>
    </row>
    <row r="83" spans="2:4">
      <c r="B83"/>
      <c r="D83"/>
    </row>
    <row r="84" spans="2:4">
      <c r="B84"/>
      <c r="D84"/>
    </row>
    <row r="85" spans="2:4">
      <c r="B85"/>
      <c r="D85"/>
    </row>
    <row r="86" spans="2:4">
      <c r="B86"/>
      <c r="D86"/>
    </row>
    <row r="87" spans="2:4">
      <c r="B87"/>
      <c r="D87"/>
    </row>
    <row r="88" spans="2:4">
      <c r="B88"/>
      <c r="D88"/>
    </row>
    <row r="89" spans="2:4">
      <c r="B89"/>
      <c r="D89"/>
    </row>
    <row r="90" spans="2:4">
      <c r="B90"/>
      <c r="D90"/>
    </row>
    <row r="91" spans="2:4">
      <c r="B91"/>
      <c r="D91"/>
    </row>
    <row r="92" spans="2:4">
      <c r="B92"/>
      <c r="D92"/>
    </row>
    <row r="93" spans="2:4">
      <c r="B93"/>
      <c r="D93"/>
    </row>
    <row r="94" spans="2:4">
      <c r="B94"/>
      <c r="D94"/>
    </row>
    <row r="95" spans="2:4">
      <c r="B95"/>
      <c r="D95"/>
    </row>
    <row r="96" spans="2:4">
      <c r="B96"/>
      <c r="D96"/>
    </row>
    <row r="97" spans="2:4">
      <c r="B97"/>
      <c r="D97"/>
    </row>
    <row r="98" spans="2:4">
      <c r="B98"/>
      <c r="D98"/>
    </row>
    <row r="99" spans="2:4">
      <c r="B99"/>
      <c r="D99"/>
    </row>
    <row r="100" spans="2:4">
      <c r="B100"/>
      <c r="D100"/>
    </row>
    <row r="101" spans="2:4">
      <c r="B101"/>
      <c r="D101"/>
    </row>
    <row r="102" spans="2:4">
      <c r="B102"/>
      <c r="D102"/>
    </row>
    <row r="103" spans="2:4">
      <c r="B103"/>
      <c r="D103"/>
    </row>
    <row r="104" spans="2:4">
      <c r="B104"/>
      <c r="D104"/>
    </row>
    <row r="105" spans="2:4">
      <c r="B105"/>
      <c r="D105"/>
    </row>
    <row r="106" spans="2:4">
      <c r="B106"/>
      <c r="D106"/>
    </row>
    <row r="107" spans="2:4">
      <c r="B107"/>
      <c r="D107"/>
    </row>
    <row r="108" spans="2:4">
      <c r="B108"/>
      <c r="D108"/>
    </row>
    <row r="109" spans="2:4">
      <c r="B109"/>
      <c r="D109"/>
    </row>
    <row r="110" spans="2:4">
      <c r="B110"/>
      <c r="D110"/>
    </row>
    <row r="111" spans="2:4">
      <c r="B111"/>
      <c r="D111"/>
    </row>
    <row r="112" spans="2:4">
      <c r="B112"/>
      <c r="D112"/>
    </row>
    <row r="113" spans="2:4">
      <c r="B113"/>
      <c r="D113"/>
    </row>
  </sheetData>
  <phoneticPr fontId="2" type="noConversion"/>
  <pageMargins left="0.78740157480314965" right="0.23622047244094491" top="0.98425196850393704" bottom="0.64" header="0.51181102362204722" footer="0.37"/>
  <pageSetup paperSize="9" scale="70" orientation="portrait" r:id="rId2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7</vt:i4>
      </vt:variant>
    </vt:vector>
  </HeadingPairs>
  <TitlesOfParts>
    <vt:vector size="21" baseType="lpstr">
      <vt:lpstr>Opplagstall</vt:lpstr>
      <vt:lpstr>D-Forlag</vt:lpstr>
      <vt:lpstr>Forlag</vt:lpstr>
      <vt:lpstr>Forlag med titler</vt:lpstr>
      <vt:lpstr>D-Markeder</vt:lpstr>
      <vt:lpstr>Marked</vt:lpstr>
      <vt:lpstr>Marked med titler</vt:lpstr>
      <vt:lpstr>D-Aktualitet</vt:lpstr>
      <vt:lpstr>Aktualitet</vt:lpstr>
      <vt:lpstr>D-Familie</vt:lpstr>
      <vt:lpstr>Familie</vt:lpstr>
      <vt:lpstr>D-Kvinne</vt:lpstr>
      <vt:lpstr>Kvinne</vt:lpstr>
      <vt:lpstr>Ark1</vt:lpstr>
      <vt:lpstr>'D-Aktualitet'!Utskriftsområde</vt:lpstr>
      <vt:lpstr>'D-Familie'!Utskriftsområde</vt:lpstr>
      <vt:lpstr>'D-Forlag'!Utskriftsområde</vt:lpstr>
      <vt:lpstr>'D-Kvinne'!Utskriftsområde</vt:lpstr>
      <vt:lpstr>'D-Markeder'!Utskriftsområde</vt:lpstr>
      <vt:lpstr>Opplagstall!Utskriftsområde</vt:lpstr>
      <vt:lpstr>Opplagstall!Utskriftstitler</vt:lpstr>
    </vt:vector>
  </TitlesOfParts>
  <Company>Allergruppen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Ingebrigt Økland</dc:creator>
  <cp:lastModifiedBy>n20728</cp:lastModifiedBy>
  <cp:lastPrinted>2010-02-03T14:46:35Z</cp:lastPrinted>
  <dcterms:created xsi:type="dcterms:W3CDTF">2007-01-30T11:11:19Z</dcterms:created>
  <dcterms:modified xsi:type="dcterms:W3CDTF">2010-02-15T19:13:30Z</dcterms:modified>
</cp:coreProperties>
</file>